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Apoio Administrativo\2. PASTAS INDIVIDUAIS DOS SERVIDORES\TIAGO\TIAGO\FATIMA CIDADE JARDIM\planilha final\"/>
    </mc:Choice>
  </mc:AlternateContent>
  <bookViews>
    <workbookView xWindow="0" yWindow="0" windowWidth="25200" windowHeight="11985" tabRatio="790" activeTab="1"/>
  </bookViews>
  <sheets>
    <sheet name="Planilha Orçamentária" sheetId="1" r:id="rId1"/>
    <sheet name="Cronograma Fís-Financ " sheetId="31" r:id="rId2"/>
    <sheet name="composições" sheetId="30" r:id="rId3"/>
    <sheet name="Curva ABC" sheetId="32" r:id="rId4"/>
    <sheet name="Reboco e gesso " sheetId="8" r:id="rId5"/>
    <sheet name="INFRA E SUPER" sheetId="29" r:id="rId6"/>
    <sheet name="Plan1" sheetId="26" r:id="rId7"/>
    <sheet name="Infra" sheetId="5" r:id="rId8"/>
    <sheet name="Super" sheetId="6" r:id="rId9"/>
    <sheet name="Alvenaria" sheetId="7" r:id="rId10"/>
    <sheet name="Acabamentos" sheetId="9" r:id="rId11"/>
    <sheet name="Esquadrias" sheetId="10" r:id="rId12"/>
    <sheet name="Área de Contrapiso" sheetId="11" r:id="rId13"/>
    <sheet name="Impermeab. Áreas Molhadas" sheetId="12" r:id="rId14"/>
    <sheet name="BANCADAS E SOLEIRAS" sheetId="13" r:id="rId15"/>
    <sheet name="GRADIL - A.VERDE - Á EXT." sheetId="14" r:id="rId16"/>
    <sheet name="VERGAS CONTRAVERGAS" sheetId="22" r:id="rId17"/>
    <sheet name="TELHADOS" sheetId="23" r:id="rId18"/>
  </sheets>
  <externalReferences>
    <externalReference r:id="rId19"/>
    <externalReference r:id="rId20"/>
  </externalReferences>
  <definedNames>
    <definedName name="_Fill">#REF!</definedName>
    <definedName name="_xlnm._FilterDatabase" localSheetId="10">Acabamentos!$B$21:$U$75</definedName>
    <definedName name="_xlnm._FilterDatabase" localSheetId="9">Alvenaria!#REF!</definedName>
    <definedName name="_xlnm._FilterDatabase" localSheetId="11">Esquadrias!#REF!</definedName>
    <definedName name="_xlnm._FilterDatabase" localSheetId="0" hidden="1">'Planilha Orçamentária'!$C$1:$C$433</definedName>
    <definedName name="_xlnm._FilterDatabase" localSheetId="4">'Reboco e gesso '!$B$21:$S$74</definedName>
    <definedName name="_Key1">#REF!</definedName>
    <definedName name="_Key2">#REF!</definedName>
    <definedName name="_Order1">255</definedName>
    <definedName name="_Order2">255</definedName>
    <definedName name="_Sort">#REF!</definedName>
    <definedName name="AÇOCA50">#REF!</definedName>
    <definedName name="AÇOCA60">#REF!</definedName>
    <definedName name="ACRE">#REF!</definedName>
    <definedName name="ademir">{#N/A,#N/A,FALSE,"Cronograma";#N/A,#N/A,FALSE,"Cronogr. 2"}</definedName>
    <definedName name="_xlnm.Print_Area" localSheetId="14">'BANCADAS E SOLEIRAS'!$A$1:$H$91</definedName>
    <definedName name="_xlnm.Print_Area" localSheetId="1">'Cronograma Fís-Financ '!$A$1:$R$73</definedName>
    <definedName name="_xlnm.Print_Area" localSheetId="11">Esquadrias!$A$1:$M$74</definedName>
    <definedName name="_xlnm.Print_Area" localSheetId="15">'GRADIL - A.VERDE - Á EXT.'!$A$1:$D$44</definedName>
    <definedName name="_xlnm.Print_Area" localSheetId="0">'Planilha Orçamentária'!$A$1:$H$439</definedName>
    <definedName name="ASDF">#REF!</definedName>
    <definedName name="Bm.Periodos">'[1]Orçamento e Medição'!$Q$12:$AB$12</definedName>
    <definedName name="Bm.posAtual">IF(mediçao&lt;N(Bm.Periodos),-1,MATCH(mediçao,Bm.Periodos)-1)</definedName>
    <definedName name="bosta">{#N/A,#N/A,FALSE,"Cronograma";#N/A,#N/A,FALSE,"Cronogr. 2"}</definedName>
    <definedName name="CA´L">{#N/A,#N/A,FALSE,"Cronograma";#N/A,#N/A,FALSE,"Cronogr. 2"}</definedName>
    <definedName name="concorrentes">{#N/A,#N/A,FALSE,"Cronograma";#N/A,#N/A,FALSE,"Cronogr. 2"}</definedName>
    <definedName name="de">#REF!</definedName>
    <definedName name="éAcertoGlosa">SUM(Orç.éGlosado)</definedName>
    <definedName name="éAditadoDepois">COUNTIF(Orç.colAdit,"&gt;"&amp;mediçao)</definedName>
    <definedName name="éAditadoNoPeríodo">COUNTIF(Orç.colAdit,mediçao)</definedName>
    <definedName name="FDSA">#N/A</definedName>
    <definedName name="mediçao">[1]RESUMO!$M$2</definedName>
    <definedName name="Orç.colAcum">'[1]Orçamento e Medição'!$N$13:$N$51</definedName>
    <definedName name="Orç.colAdit">'[1]Orçamento e Medição'!$J$13:$J$51</definedName>
    <definedName name="Orç.éAditado">LEN(TRIM(Orç.colAdit))</definedName>
    <definedName name="Orç.éGlosado">IF(Orç.colAdit=mediçao,IF(ISNUMBER(Orç.colAcum),IF(Orç.colAcum-IF(ISNUMBER(Bm.colAtual),Bm.colAtual)&gt;IF(Orç.quantLic&lt;Orç.quant,Orç.quantLic,Orç.quant),1)))*1</definedName>
    <definedName name="Orç.quant">IF(Orç.éAditado*ISNUMBER(Orç.quantAlt),Orç.quantAlt,Orç.quantLic)</definedName>
    <definedName name="Orç.quantAlt">'[1]Orçamento e Medição'!$H$13:$H$51</definedName>
    <definedName name="Orç.quantLic">'[1]Orçamento e Medição'!$F$13:$F$51</definedName>
    <definedName name="Popular">{#N/A,#N/A,FALSE,"Cronograma";#N/A,#N/A,FALSE,"Cronogr. 2"}</definedName>
    <definedName name="Res.éAditadoDepois">COUNTIF(OFFSET(Orç.colAdit,Res.posInicio,,Res.posDelta,1),"&gt;"&amp;mediçao)</definedName>
    <definedName name="Res.éAditadoNoPeriodo">COUNTIF(OFFSET(Orç.colAdit,Res.posInicio,,Res.posDelta,1),mediçao)</definedName>
    <definedName name="Res.posDelta">INDIRECT(ADDRESS(ROW(),16))</definedName>
    <definedName name="Res.posInicio">INDIRECT(ADDRESS(ROW(),15))</definedName>
    <definedName name="rio">{#N/A,#N/A,FALSE,"Cronograma";#N/A,#N/A,FALSE,"Cronogr. 2"}</definedName>
    <definedName name="SINAPI_AC">#REF!</definedName>
    <definedName name="ss">{#N/A,#N/A,FALSE,"Cronograma";#N/A,#N/A,FALSE,"Cronogr. 2"}</definedName>
    <definedName name="tabBM">'[1]Orçamento e Medição'!$Q$13:$AB$51</definedName>
    <definedName name="tabelaaço">#REF!</definedName>
    <definedName name="TipoContrato">#REF!</definedName>
    <definedName name="_xlnm.Print_Titles" localSheetId="0">'Planilha Orçamentária'!$1:$18</definedName>
    <definedName name="wrn.Cronograma.">{#N/A,#N/A,FALSE,"Cronograma";#N/A,#N/A,FALSE,"Cronogr. 2"}</definedName>
    <definedName name="wrn.GERAL.">{#N/A,#N/A,FALSE,"ET-CAPA";#N/A,#N/A,FALSE,"ET-PAG1";#N/A,#N/A,FALSE,"ET-PAG2";#N/A,#N/A,FALSE,"ET-PAG3";#N/A,#N/A,FALSE,"ET-PAG4";#N/A,#N/A,FALSE,"ET-PAG5"}</definedName>
    <definedName name="wrn.PENDENCIAS.">{#N/A,#N/A,FALSE,"GERAL";#N/A,#N/A,FALSE,"012-96";#N/A,#N/A,FALSE,"018-96";#N/A,#N/A,FALSE,"027-96";#N/A,#N/A,FALSE,"059-96";#N/A,#N/A,FALSE,"076-96";#N/A,#N/A,FALSE,"019-97";#N/A,#N/A,FALSE,"021-97";#N/A,#N/A,FALSE,"022-97";#N/A,#N/A,FALSE,"028-97"}</definedName>
  </definedNames>
  <calcPr calcId="152511"/>
</workbook>
</file>

<file path=xl/calcChain.xml><?xml version="1.0" encoding="utf-8"?>
<calcChain xmlns="http://schemas.openxmlformats.org/spreadsheetml/2006/main">
  <c r="I31" i="23" l="1"/>
  <c r="D31" i="23"/>
  <c r="E30" i="23"/>
  <c r="E29" i="23"/>
  <c r="E28" i="23"/>
  <c r="E27" i="23"/>
  <c r="E26" i="23"/>
  <c r="E31" i="23" s="1"/>
  <c r="H21" i="23"/>
  <c r="G20" i="23"/>
  <c r="F20" i="23"/>
  <c r="G19" i="23"/>
  <c r="F19" i="23"/>
  <c r="G18" i="23"/>
  <c r="F18" i="23"/>
  <c r="G17" i="23"/>
  <c r="F17" i="23"/>
  <c r="G16" i="23"/>
  <c r="F16" i="23"/>
  <c r="G15" i="23"/>
  <c r="F15" i="23"/>
  <c r="G14" i="23"/>
  <c r="F14" i="23"/>
  <c r="G13" i="23"/>
  <c r="F13" i="23"/>
  <c r="F21" i="23" s="1"/>
  <c r="G12" i="23"/>
  <c r="G21" i="23" s="1"/>
  <c r="F12" i="23"/>
  <c r="F39" i="22"/>
  <c r="E39" i="22"/>
  <c r="G39" i="22" s="1"/>
  <c r="F38" i="22"/>
  <c r="E38" i="22"/>
  <c r="G38" i="22" s="1"/>
  <c r="G37" i="22"/>
  <c r="F37" i="22"/>
  <c r="E37" i="22"/>
  <c r="G36" i="22"/>
  <c r="F36" i="22"/>
  <c r="E36" i="22"/>
  <c r="G35" i="22"/>
  <c r="F35" i="22"/>
  <c r="E35" i="22"/>
  <c r="F34" i="22"/>
  <c r="E34" i="22"/>
  <c r="G34" i="22" s="1"/>
  <c r="F33" i="22"/>
  <c r="E33" i="22"/>
  <c r="G33" i="22" s="1"/>
  <c r="G32" i="22"/>
  <c r="F32" i="22"/>
  <c r="E32" i="22"/>
  <c r="F31" i="22"/>
  <c r="E31" i="22"/>
  <c r="G31" i="22" s="1"/>
  <c r="F30" i="22"/>
  <c r="E30" i="22"/>
  <c r="G30" i="22" s="1"/>
  <c r="G29" i="22"/>
  <c r="F29" i="22"/>
  <c r="E29" i="22"/>
  <c r="G28" i="22"/>
  <c r="F28" i="22"/>
  <c r="E28" i="22"/>
  <c r="G27" i="22"/>
  <c r="F27" i="22"/>
  <c r="E27" i="22"/>
  <c r="F26" i="22"/>
  <c r="E26" i="22"/>
  <c r="G26" i="22" s="1"/>
  <c r="G40" i="22" s="1"/>
  <c r="G44" i="22" s="1"/>
  <c r="F22" i="22"/>
  <c r="G22" i="22" s="1"/>
  <c r="G21" i="22"/>
  <c r="F21" i="22"/>
  <c r="E21" i="22"/>
  <c r="F20" i="22"/>
  <c r="E20" i="22"/>
  <c r="G20" i="22" s="1"/>
  <c r="F19" i="22"/>
  <c r="E19" i="22"/>
  <c r="G19" i="22" s="1"/>
  <c r="G18" i="22"/>
  <c r="F18" i="22"/>
  <c r="E18" i="22"/>
  <c r="G17" i="22"/>
  <c r="F17" i="22"/>
  <c r="E17" i="22"/>
  <c r="G16" i="22"/>
  <c r="F16" i="22"/>
  <c r="E16" i="22"/>
  <c r="F15" i="22"/>
  <c r="E15" i="22"/>
  <c r="G15" i="22" s="1"/>
  <c r="F14" i="22"/>
  <c r="E14" i="22"/>
  <c r="G14" i="22" s="1"/>
  <c r="G13" i="22"/>
  <c r="F13" i="22"/>
  <c r="E13" i="22"/>
  <c r="F12" i="22"/>
  <c r="E12" i="22"/>
  <c r="G12" i="22" s="1"/>
  <c r="G23" i="22" s="1"/>
  <c r="G43" i="22" s="1"/>
  <c r="G45" i="22" s="1"/>
  <c r="F63" i="1" s="1"/>
  <c r="H63" i="1" s="1"/>
  <c r="C38" i="14"/>
  <c r="D37" i="14" s="1"/>
  <c r="D38" i="14" s="1"/>
  <c r="C37" i="14"/>
  <c r="C31" i="14"/>
  <c r="C30" i="14"/>
  <c r="C29" i="14"/>
  <c r="C24" i="14"/>
  <c r="C14" i="14"/>
  <c r="C15" i="14" s="1"/>
  <c r="C84" i="13"/>
  <c r="F73" i="13"/>
  <c r="F72" i="13"/>
  <c r="F71" i="13"/>
  <c r="F70" i="13"/>
  <c r="F69" i="13"/>
  <c r="F68" i="13"/>
  <c r="F74" i="13" s="1"/>
  <c r="F60" i="13"/>
  <c r="F59" i="13"/>
  <c r="F58" i="13"/>
  <c r="F57" i="13"/>
  <c r="F56" i="13"/>
  <c r="F55" i="13"/>
  <c r="F54" i="13"/>
  <c r="F53" i="13"/>
  <c r="F52" i="13"/>
  <c r="F51" i="13"/>
  <c r="F50" i="13"/>
  <c r="F49" i="13"/>
  <c r="F48" i="13"/>
  <c r="F47" i="13"/>
  <c r="F46" i="13"/>
  <c r="F61" i="13" s="1"/>
  <c r="F37" i="13"/>
  <c r="F36" i="13"/>
  <c r="F35" i="13"/>
  <c r="F34" i="13"/>
  <c r="F33" i="13"/>
  <c r="F32" i="13"/>
  <c r="F31" i="13"/>
  <c r="F30" i="13"/>
  <c r="F39" i="13" s="1"/>
  <c r="F29" i="13"/>
  <c r="F21" i="13"/>
  <c r="G21" i="13" s="1"/>
  <c r="G20" i="13"/>
  <c r="F20" i="13"/>
  <c r="G19" i="13"/>
  <c r="F19" i="13"/>
  <c r="G18" i="13"/>
  <c r="F18" i="13"/>
  <c r="F17" i="13"/>
  <c r="G17" i="13" s="1"/>
  <c r="G16" i="13"/>
  <c r="F16" i="13"/>
  <c r="G15" i="13"/>
  <c r="F15" i="13"/>
  <c r="G14" i="13"/>
  <c r="F14" i="13"/>
  <c r="F13" i="13"/>
  <c r="G13" i="13" s="1"/>
  <c r="G12" i="13"/>
  <c r="F12" i="13"/>
  <c r="G11" i="13"/>
  <c r="F11" i="13"/>
  <c r="G10" i="13"/>
  <c r="F10" i="13"/>
  <c r="F9" i="13"/>
  <c r="G9" i="13" s="1"/>
  <c r="G8" i="13"/>
  <c r="F8" i="13"/>
  <c r="G7" i="13"/>
  <c r="F7" i="13"/>
  <c r="I59" i="12"/>
  <c r="I58" i="12"/>
  <c r="I53" i="12"/>
  <c r="F53" i="12"/>
  <c r="E53" i="12"/>
  <c r="K53" i="12" s="1"/>
  <c r="K52" i="12"/>
  <c r="K54" i="12" s="1"/>
  <c r="H52" i="12"/>
  <c r="I52" i="12" s="1"/>
  <c r="J51" i="12"/>
  <c r="I51" i="12"/>
  <c r="F51" i="12"/>
  <c r="J49" i="12"/>
  <c r="I49" i="12"/>
  <c r="H49" i="12"/>
  <c r="J48" i="12"/>
  <c r="I48" i="12"/>
  <c r="H48" i="12"/>
  <c r="J47" i="12"/>
  <c r="I47" i="12"/>
  <c r="H47" i="12"/>
  <c r="J46" i="12"/>
  <c r="I46" i="12"/>
  <c r="H46" i="12"/>
  <c r="J45" i="12"/>
  <c r="I45" i="12"/>
  <c r="H45" i="12"/>
  <c r="J44" i="12"/>
  <c r="H44" i="12"/>
  <c r="I44" i="12" s="1"/>
  <c r="J43" i="12"/>
  <c r="H43" i="12"/>
  <c r="I43" i="12" s="1"/>
  <c r="J42" i="12"/>
  <c r="I42" i="12"/>
  <c r="H42" i="12"/>
  <c r="J41" i="12"/>
  <c r="I41" i="12"/>
  <c r="H41" i="12"/>
  <c r="J40" i="12"/>
  <c r="I40" i="12"/>
  <c r="H40" i="12"/>
  <c r="J39" i="12"/>
  <c r="I39" i="12"/>
  <c r="H39" i="12"/>
  <c r="J38" i="12"/>
  <c r="I38" i="12"/>
  <c r="H38" i="12"/>
  <c r="J37" i="12"/>
  <c r="I37" i="12"/>
  <c r="H37" i="12"/>
  <c r="J36" i="12"/>
  <c r="H36" i="12"/>
  <c r="I36" i="12" s="1"/>
  <c r="J35" i="12"/>
  <c r="H35" i="12"/>
  <c r="I35" i="12" s="1"/>
  <c r="J34" i="12"/>
  <c r="I34" i="12"/>
  <c r="H34" i="12"/>
  <c r="J33" i="12"/>
  <c r="I33" i="12"/>
  <c r="H33" i="12"/>
  <c r="J32" i="12"/>
  <c r="I32" i="12"/>
  <c r="H32" i="12"/>
  <c r="J31" i="12"/>
  <c r="I31" i="12"/>
  <c r="H31" i="12"/>
  <c r="J30" i="12"/>
  <c r="I30" i="12"/>
  <c r="H30" i="12"/>
  <c r="J29" i="12"/>
  <c r="J54" i="12" s="1"/>
  <c r="J59" i="12" s="1"/>
  <c r="I29" i="12"/>
  <c r="H29" i="12"/>
  <c r="J28" i="12"/>
  <c r="H28" i="12"/>
  <c r="I28" i="12" s="1"/>
  <c r="J27" i="12"/>
  <c r="H27" i="12"/>
  <c r="I27" i="12" s="1"/>
  <c r="J13" i="12"/>
  <c r="J11" i="12"/>
  <c r="J10" i="12"/>
  <c r="J9" i="12"/>
  <c r="P7" i="12"/>
  <c r="P6" i="12"/>
  <c r="G63" i="11"/>
  <c r="G62" i="11"/>
  <c r="G61" i="11"/>
  <c r="G60" i="11"/>
  <c r="G59" i="11"/>
  <c r="G58" i="11"/>
  <c r="G57" i="11"/>
  <c r="G56" i="11"/>
  <c r="G55" i="11"/>
  <c r="G54" i="11"/>
  <c r="G53" i="11"/>
  <c r="G52" i="11"/>
  <c r="G51" i="11"/>
  <c r="G50" i="11"/>
  <c r="G49" i="11"/>
  <c r="G48" i="11"/>
  <c r="G47" i="11"/>
  <c r="G46" i="11"/>
  <c r="G45" i="11"/>
  <c r="G44" i="11"/>
  <c r="G43" i="11"/>
  <c r="G42" i="11"/>
  <c r="G41" i="11"/>
  <c r="G40" i="11"/>
  <c r="G39" i="11"/>
  <c r="G38" i="11"/>
  <c r="G37" i="11"/>
  <c r="G36" i="11"/>
  <c r="G35" i="11"/>
  <c r="G34" i="11"/>
  <c r="G33" i="11"/>
  <c r="G32" i="11"/>
  <c r="G31" i="11"/>
  <c r="G30" i="11"/>
  <c r="G29" i="11"/>
  <c r="G28" i="11"/>
  <c r="G27" i="11"/>
  <c r="G26" i="11"/>
  <c r="G25" i="11"/>
  <c r="G24" i="11"/>
  <c r="G23" i="11"/>
  <c r="G22" i="11"/>
  <c r="G21" i="11"/>
  <c r="G20" i="11"/>
  <c r="G19" i="11"/>
  <c r="G18" i="11"/>
  <c r="G17" i="11"/>
  <c r="G16" i="11"/>
  <c r="G64" i="11" s="1"/>
  <c r="G65" i="11" s="1"/>
  <c r="G15" i="11"/>
  <c r="G14" i="11"/>
  <c r="G13" i="11"/>
  <c r="G12" i="11"/>
  <c r="F86" i="10"/>
  <c r="C69" i="10"/>
  <c r="D69" i="10" s="1"/>
  <c r="D70" i="10" s="1"/>
  <c r="J62" i="10"/>
  <c r="J61" i="10"/>
  <c r="I61" i="10"/>
  <c r="F61" i="10"/>
  <c r="F62" i="10" s="1"/>
  <c r="G54" i="10"/>
  <c r="I53" i="10"/>
  <c r="E53" i="10"/>
  <c r="I52" i="10"/>
  <c r="I51" i="10"/>
  <c r="E51" i="10"/>
  <c r="I50" i="10"/>
  <c r="I54" i="10" s="1"/>
  <c r="F86" i="1" s="1"/>
  <c r="H40" i="10"/>
  <c r="H39" i="10"/>
  <c r="H38" i="10"/>
  <c r="H37" i="10"/>
  <c r="H36" i="10"/>
  <c r="H35" i="10"/>
  <c r="H34" i="10"/>
  <c r="H33" i="10"/>
  <c r="K32" i="10"/>
  <c r="K41" i="10" s="1"/>
  <c r="H32" i="10"/>
  <c r="H41" i="10" s="1"/>
  <c r="H31" i="10"/>
  <c r="H30" i="10"/>
  <c r="K25" i="10"/>
  <c r="H24" i="10"/>
  <c r="H23" i="10"/>
  <c r="H22" i="10"/>
  <c r="H21" i="10"/>
  <c r="H20" i="10"/>
  <c r="H19" i="10"/>
  <c r="H18" i="10"/>
  <c r="H16" i="10"/>
  <c r="H15" i="10"/>
  <c r="H14" i="10"/>
  <c r="H13" i="10"/>
  <c r="H25" i="10" s="1"/>
  <c r="H149" i="9"/>
  <c r="G149" i="9"/>
  <c r="G148" i="9"/>
  <c r="H148" i="9" s="1"/>
  <c r="H147" i="9"/>
  <c r="G146" i="9"/>
  <c r="H146" i="9" s="1"/>
  <c r="H145" i="9"/>
  <c r="G145" i="9"/>
  <c r="H144" i="9"/>
  <c r="G144" i="9"/>
  <c r="H143" i="9"/>
  <c r="G143" i="9"/>
  <c r="G142" i="9"/>
  <c r="H142" i="9" s="1"/>
  <c r="H141" i="9"/>
  <c r="G141" i="9"/>
  <c r="H140" i="9"/>
  <c r="G140" i="9"/>
  <c r="H139" i="9"/>
  <c r="G139" i="9"/>
  <c r="G138" i="9"/>
  <c r="H138" i="9" s="1"/>
  <c r="H137" i="9"/>
  <c r="G137" i="9"/>
  <c r="H136" i="9"/>
  <c r="G136" i="9"/>
  <c r="H135" i="9"/>
  <c r="G135" i="9"/>
  <c r="G134" i="9"/>
  <c r="H134" i="9" s="1"/>
  <c r="H133" i="9"/>
  <c r="G133" i="9"/>
  <c r="H132" i="9"/>
  <c r="G132" i="9"/>
  <c r="H131" i="9"/>
  <c r="G131" i="9"/>
  <c r="G130" i="9"/>
  <c r="H130" i="9" s="1"/>
  <c r="H129" i="9"/>
  <c r="G129" i="9"/>
  <c r="C105" i="9"/>
  <c r="C104" i="9"/>
  <c r="C98" i="9"/>
  <c r="D97" i="9"/>
  <c r="C97" i="9"/>
  <c r="C91" i="9"/>
  <c r="C90" i="9"/>
  <c r="C89" i="9"/>
  <c r="C88" i="9"/>
  <c r="C87" i="9"/>
  <c r="C86" i="9"/>
  <c r="C85" i="9"/>
  <c r="C84" i="9"/>
  <c r="J76" i="9"/>
  <c r="I76" i="9"/>
  <c r="G76" i="9"/>
  <c r="E76" i="9"/>
  <c r="S75" i="9"/>
  <c r="Q75" i="9"/>
  <c r="F75" i="9"/>
  <c r="U75" i="9" s="1"/>
  <c r="S74" i="9"/>
  <c r="Q74" i="9"/>
  <c r="F74" i="9"/>
  <c r="U73" i="9"/>
  <c r="S73" i="9"/>
  <c r="Q73" i="9"/>
  <c r="M73" i="9"/>
  <c r="F73" i="9"/>
  <c r="U72" i="9"/>
  <c r="S72" i="9"/>
  <c r="Q72" i="9"/>
  <c r="M72" i="9"/>
  <c r="U71" i="9"/>
  <c r="S71" i="9"/>
  <c r="Q71" i="9"/>
  <c r="M71" i="9"/>
  <c r="S70" i="9"/>
  <c r="Q70" i="9"/>
  <c r="M70" i="9"/>
  <c r="F70" i="9"/>
  <c r="U70" i="9" s="1"/>
  <c r="U69" i="9"/>
  <c r="S69" i="9"/>
  <c r="Q69" i="9"/>
  <c r="F69" i="9"/>
  <c r="S68" i="9"/>
  <c r="Q68" i="9"/>
  <c r="M68" i="9"/>
  <c r="F68" i="9"/>
  <c r="U67" i="9"/>
  <c r="Q67" i="9"/>
  <c r="M67" i="9"/>
  <c r="U66" i="9"/>
  <c r="T66" i="9"/>
  <c r="S66" i="9"/>
  <c r="Q66" i="9"/>
  <c r="O66" i="9"/>
  <c r="M66" i="9"/>
  <c r="H66" i="9"/>
  <c r="U65" i="9"/>
  <c r="T65" i="9"/>
  <c r="S65" i="9"/>
  <c r="Q65" i="9"/>
  <c r="U64" i="9"/>
  <c r="T64" i="9"/>
  <c r="S64" i="9"/>
  <c r="Q64" i="9"/>
  <c r="H64" i="9"/>
  <c r="M64" i="9" s="1"/>
  <c r="O64" i="9" s="1"/>
  <c r="U63" i="9"/>
  <c r="T63" i="9"/>
  <c r="S63" i="9"/>
  <c r="Q63" i="9"/>
  <c r="M63" i="9"/>
  <c r="O63" i="9" s="1"/>
  <c r="H63" i="9"/>
  <c r="U62" i="9"/>
  <c r="T62" i="9"/>
  <c r="S62" i="9"/>
  <c r="Q62" i="9"/>
  <c r="U61" i="9"/>
  <c r="T61" i="9"/>
  <c r="S61" i="9"/>
  <c r="Q61" i="9"/>
  <c r="H61" i="9"/>
  <c r="M61" i="9" s="1"/>
  <c r="O61" i="9" s="1"/>
  <c r="U60" i="9"/>
  <c r="T60" i="9"/>
  <c r="S60" i="9"/>
  <c r="Q60" i="9"/>
  <c r="M60" i="9"/>
  <c r="H60" i="9"/>
  <c r="U59" i="9"/>
  <c r="T59" i="9"/>
  <c r="S59" i="9"/>
  <c r="Q59" i="9"/>
  <c r="H59" i="9"/>
  <c r="M59" i="9" s="1"/>
  <c r="O59" i="9" s="1"/>
  <c r="U58" i="9"/>
  <c r="T58" i="9"/>
  <c r="S58" i="9"/>
  <c r="Q58" i="9"/>
  <c r="H58" i="9"/>
  <c r="M58" i="9" s="1"/>
  <c r="U57" i="9"/>
  <c r="T57" i="9"/>
  <c r="S57" i="9"/>
  <c r="Q57" i="9"/>
  <c r="H57" i="9"/>
  <c r="M57" i="9" s="1"/>
  <c r="O57" i="9" s="1"/>
  <c r="U56" i="9"/>
  <c r="T56" i="9"/>
  <c r="S56" i="9"/>
  <c r="Q56" i="9"/>
  <c r="U55" i="9"/>
  <c r="T55" i="9"/>
  <c r="S55" i="9"/>
  <c r="Q55" i="9"/>
  <c r="M55" i="9"/>
  <c r="H55" i="9"/>
  <c r="U54" i="9"/>
  <c r="T54" i="9"/>
  <c r="S54" i="9"/>
  <c r="Q54" i="9"/>
  <c r="H54" i="9"/>
  <c r="M54" i="9" s="1"/>
  <c r="O54" i="9" s="1"/>
  <c r="U53" i="9"/>
  <c r="T53" i="9"/>
  <c r="S53" i="9"/>
  <c r="Q53" i="9"/>
  <c r="H53" i="9"/>
  <c r="M53" i="9" s="1"/>
  <c r="O53" i="9" s="1"/>
  <c r="U52" i="9"/>
  <c r="T52" i="9"/>
  <c r="S52" i="9"/>
  <c r="Q52" i="9"/>
  <c r="H52" i="9"/>
  <c r="M52" i="9" s="1"/>
  <c r="U51" i="9"/>
  <c r="T51" i="9"/>
  <c r="S51" i="9"/>
  <c r="Q51" i="9"/>
  <c r="M51" i="9"/>
  <c r="O51" i="9" s="1"/>
  <c r="H51" i="9"/>
  <c r="U50" i="9"/>
  <c r="T50" i="9"/>
  <c r="S50" i="9"/>
  <c r="Q50" i="9"/>
  <c r="H50" i="9"/>
  <c r="M50" i="9" s="1"/>
  <c r="O50" i="9" s="1"/>
  <c r="U49" i="9"/>
  <c r="T49" i="9"/>
  <c r="S49" i="9"/>
  <c r="Q49" i="9"/>
  <c r="U48" i="9"/>
  <c r="T48" i="9"/>
  <c r="S48" i="9"/>
  <c r="Q48" i="9"/>
  <c r="M48" i="9"/>
  <c r="O48" i="9" s="1"/>
  <c r="H48" i="9"/>
  <c r="U47" i="9"/>
  <c r="T47" i="9"/>
  <c r="S47" i="9"/>
  <c r="Q47" i="9"/>
  <c r="M47" i="9"/>
  <c r="H47" i="9"/>
  <c r="U46" i="9"/>
  <c r="T46" i="9"/>
  <c r="S46" i="9"/>
  <c r="Q46" i="9"/>
  <c r="H46" i="9"/>
  <c r="M46" i="9" s="1"/>
  <c r="U45" i="9"/>
  <c r="T45" i="9"/>
  <c r="S45" i="9"/>
  <c r="Q45" i="9"/>
  <c r="U44" i="9"/>
  <c r="T44" i="9"/>
  <c r="S44" i="9"/>
  <c r="Q44" i="9"/>
  <c r="M44" i="9"/>
  <c r="H44" i="9"/>
  <c r="U43" i="9"/>
  <c r="T43" i="9"/>
  <c r="S43" i="9"/>
  <c r="Q43" i="9"/>
  <c r="M43" i="9"/>
  <c r="H43" i="9"/>
  <c r="T42" i="9"/>
  <c r="S42" i="9"/>
  <c r="Q42" i="9"/>
  <c r="M42" i="9"/>
  <c r="K42" i="9"/>
  <c r="U42" i="9" s="1"/>
  <c r="U41" i="9"/>
  <c r="T41" i="9"/>
  <c r="S41" i="9"/>
  <c r="Q41" i="9"/>
  <c r="H41" i="9"/>
  <c r="M41" i="9" s="1"/>
  <c r="U40" i="9"/>
  <c r="T40" i="9"/>
  <c r="S40" i="9"/>
  <c r="Q40" i="9"/>
  <c r="M40" i="9"/>
  <c r="U39" i="9"/>
  <c r="T39" i="9"/>
  <c r="S39" i="9"/>
  <c r="Q39" i="9"/>
  <c r="M39" i="9"/>
  <c r="H39" i="9"/>
  <c r="U38" i="9"/>
  <c r="T38" i="9"/>
  <c r="S38" i="9"/>
  <c r="Q38" i="9"/>
  <c r="M38" i="9"/>
  <c r="H38" i="9"/>
  <c r="U37" i="9"/>
  <c r="T37" i="9"/>
  <c r="S37" i="9"/>
  <c r="Q37" i="9"/>
  <c r="T36" i="9"/>
  <c r="S36" i="9"/>
  <c r="Q36" i="9"/>
  <c r="M36" i="9"/>
  <c r="O36" i="9" s="1"/>
  <c r="K36" i="9"/>
  <c r="U36" i="9" s="1"/>
  <c r="T35" i="9"/>
  <c r="S35" i="9"/>
  <c r="Q35" i="9"/>
  <c r="M35" i="9"/>
  <c r="H35" i="9"/>
  <c r="U34" i="9"/>
  <c r="T34" i="9"/>
  <c r="S34" i="9"/>
  <c r="Q34" i="9"/>
  <c r="K34" i="9"/>
  <c r="H34" i="9"/>
  <c r="M34" i="9" s="1"/>
  <c r="T33" i="9"/>
  <c r="S33" i="9"/>
  <c r="Q33" i="9"/>
  <c r="M33" i="9"/>
  <c r="H33" i="9"/>
  <c r="T32" i="9"/>
  <c r="S32" i="9"/>
  <c r="Q32" i="9"/>
  <c r="M32" i="9"/>
  <c r="H32" i="9"/>
  <c r="U31" i="9"/>
  <c r="T31" i="9"/>
  <c r="S31" i="9"/>
  <c r="Q31" i="9"/>
  <c r="K31" i="9"/>
  <c r="H31" i="9"/>
  <c r="M31" i="9" s="1"/>
  <c r="T30" i="9"/>
  <c r="S30" i="9"/>
  <c r="Q30" i="9"/>
  <c r="H30" i="9"/>
  <c r="M30" i="9" s="1"/>
  <c r="T29" i="9"/>
  <c r="S29" i="9"/>
  <c r="Q29" i="9"/>
  <c r="M29" i="9"/>
  <c r="K29" i="9"/>
  <c r="U29" i="9" s="1"/>
  <c r="H29" i="9"/>
  <c r="T28" i="9"/>
  <c r="S28" i="9"/>
  <c r="Q28" i="9"/>
  <c r="M28" i="9"/>
  <c r="K28" i="9"/>
  <c r="U28" i="9" s="1"/>
  <c r="T27" i="9"/>
  <c r="S27" i="9"/>
  <c r="Q27" i="9"/>
  <c r="M27" i="9"/>
  <c r="O27" i="9" s="1"/>
  <c r="K27" i="9"/>
  <c r="U27" i="9" s="1"/>
  <c r="H27" i="9"/>
  <c r="T26" i="9"/>
  <c r="S26" i="9"/>
  <c r="Q26" i="9"/>
  <c r="K26" i="9"/>
  <c r="H26" i="9"/>
  <c r="M26" i="9" s="1"/>
  <c r="U25" i="9"/>
  <c r="T25" i="9"/>
  <c r="S25" i="9"/>
  <c r="Q25" i="9"/>
  <c r="K25" i="9"/>
  <c r="H25" i="9"/>
  <c r="M25" i="9" s="1"/>
  <c r="U24" i="9"/>
  <c r="T24" i="9"/>
  <c r="S24" i="9"/>
  <c r="Q24" i="9"/>
  <c r="H24" i="9"/>
  <c r="M24" i="9" s="1"/>
  <c r="J9" i="9"/>
  <c r="P7" i="9"/>
  <c r="J7" i="9"/>
  <c r="P6" i="9"/>
  <c r="G57" i="7"/>
  <c r="G56" i="7"/>
  <c r="G58" i="7" s="1"/>
  <c r="E40" i="7"/>
  <c r="I40" i="7" s="1"/>
  <c r="E39" i="7"/>
  <c r="I39" i="7" s="1"/>
  <c r="I38" i="7"/>
  <c r="I37" i="7"/>
  <c r="E37" i="7"/>
  <c r="I36" i="7"/>
  <c r="E36" i="7"/>
  <c r="I35" i="7"/>
  <c r="E35" i="7"/>
  <c r="E34" i="7"/>
  <c r="I34" i="7" s="1"/>
  <c r="F124" i="1" s="1"/>
  <c r="E33" i="7"/>
  <c r="I33" i="7" s="1"/>
  <c r="I32" i="7"/>
  <c r="E32" i="7"/>
  <c r="I31" i="7"/>
  <c r="E31" i="7"/>
  <c r="E30" i="7"/>
  <c r="I30" i="7" s="1"/>
  <c r="I29" i="7"/>
  <c r="G29" i="7"/>
  <c r="E29" i="7"/>
  <c r="E28" i="7"/>
  <c r="I28" i="7" s="1"/>
  <c r="E27" i="7"/>
  <c r="I25" i="7"/>
  <c r="G25" i="7"/>
  <c r="J13" i="7"/>
  <c r="J12" i="7"/>
  <c r="J11" i="7"/>
  <c r="G27" i="7" s="1"/>
  <c r="J10" i="7"/>
  <c r="P9" i="7"/>
  <c r="J9" i="7"/>
  <c r="G26" i="7" s="1"/>
  <c r="P8" i="7"/>
  <c r="P7" i="7"/>
  <c r="P6" i="7"/>
  <c r="C6" i="7"/>
  <c r="P4" i="7"/>
  <c r="E49" i="6"/>
  <c r="C41" i="6"/>
  <c r="E22" i="6"/>
  <c r="F13" i="6"/>
  <c r="E13" i="6"/>
  <c r="E10" i="6"/>
  <c r="F8" i="6"/>
  <c r="D11" i="6" s="1"/>
  <c r="D13" i="6" s="1"/>
  <c r="C38" i="6" s="1"/>
  <c r="F80" i="5"/>
  <c r="F81" i="5" s="1"/>
  <c r="L79" i="5"/>
  <c r="L81" i="5" s="1"/>
  <c r="F41" i="1" s="1"/>
  <c r="H41" i="1" s="1"/>
  <c r="C28" i="32" s="1"/>
  <c r="F79" i="5"/>
  <c r="D78" i="5"/>
  <c r="F78" i="5" s="1"/>
  <c r="G61" i="5"/>
  <c r="G62" i="5" s="1"/>
  <c r="G68" i="5" s="1"/>
  <c r="G69" i="5" s="1"/>
  <c r="J38" i="5"/>
  <c r="I38" i="5"/>
  <c r="H38" i="5"/>
  <c r="C47" i="5" s="1"/>
  <c r="G38" i="5"/>
  <c r="C46" i="5" s="1"/>
  <c r="M37" i="5"/>
  <c r="M38" i="5" s="1"/>
  <c r="L37" i="5"/>
  <c r="L38" i="5" s="1"/>
  <c r="K37" i="5"/>
  <c r="K38" i="5" s="1"/>
  <c r="J37" i="5"/>
  <c r="H37" i="5"/>
  <c r="K21" i="5"/>
  <c r="C50" i="5" s="1"/>
  <c r="C51" i="5" s="1"/>
  <c r="J21" i="5"/>
  <c r="C49" i="5" s="1"/>
  <c r="I21" i="5"/>
  <c r="C48" i="5" s="1"/>
  <c r="H21" i="5"/>
  <c r="G21" i="5"/>
  <c r="L20" i="5"/>
  <c r="K20" i="5"/>
  <c r="J20" i="5"/>
  <c r="H20" i="5"/>
  <c r="L19" i="5"/>
  <c r="K19" i="5"/>
  <c r="J19" i="5"/>
  <c r="H19" i="5"/>
  <c r="L18" i="5"/>
  <c r="K18" i="5"/>
  <c r="J18" i="5"/>
  <c r="H18" i="5"/>
  <c r="L17" i="5"/>
  <c r="K17" i="5"/>
  <c r="J17" i="5"/>
  <c r="H17" i="5"/>
  <c r="L16" i="5"/>
  <c r="K16" i="5"/>
  <c r="J16" i="5"/>
  <c r="H16" i="5"/>
  <c r="L15" i="5"/>
  <c r="K15" i="5"/>
  <c r="J15" i="5"/>
  <c r="H15" i="5"/>
  <c r="L14" i="5"/>
  <c r="K14" i="5"/>
  <c r="J14" i="5"/>
  <c r="H14" i="5"/>
  <c r="M13" i="5"/>
  <c r="M21" i="5" s="1"/>
  <c r="L13" i="5"/>
  <c r="L21" i="5" s="1"/>
  <c r="C52" i="5" s="1"/>
  <c r="K13" i="5"/>
  <c r="J13" i="5"/>
  <c r="H13" i="5"/>
  <c r="K97" i="26"/>
  <c r="E97" i="26"/>
  <c r="E96" i="26"/>
  <c r="D93" i="26"/>
  <c r="D92" i="26"/>
  <c r="K90" i="26"/>
  <c r="K89" i="26"/>
  <c r="P88" i="26"/>
  <c r="D87" i="26"/>
  <c r="J86" i="26"/>
  <c r="G92" i="26" s="1"/>
  <c r="J85" i="26"/>
  <c r="C78" i="26"/>
  <c r="S77" i="26"/>
  <c r="R77" i="26"/>
  <c r="S76" i="26"/>
  <c r="R76" i="26"/>
  <c r="R72" i="26"/>
  <c r="S72" i="26" s="1"/>
  <c r="R71" i="26"/>
  <c r="S71" i="26" s="1"/>
  <c r="P86" i="26" s="1"/>
  <c r="K68" i="26"/>
  <c r="K72" i="26" s="1"/>
  <c r="G68" i="26"/>
  <c r="C68" i="26"/>
  <c r="R67" i="26"/>
  <c r="S67" i="26" s="1"/>
  <c r="R66" i="26"/>
  <c r="S66" i="26" s="1"/>
  <c r="R65" i="26"/>
  <c r="S65" i="26" s="1"/>
  <c r="S64" i="26"/>
  <c r="P87" i="26" s="1"/>
  <c r="R64" i="26"/>
  <c r="R60" i="26"/>
  <c r="S60" i="26" s="1"/>
  <c r="R59" i="26"/>
  <c r="S59" i="26" s="1"/>
  <c r="S58" i="26"/>
  <c r="R58" i="26"/>
  <c r="S57" i="26"/>
  <c r="R57" i="26"/>
  <c r="R53" i="26"/>
  <c r="S53" i="26" s="1"/>
  <c r="S52" i="26"/>
  <c r="R52" i="26"/>
  <c r="S51" i="26"/>
  <c r="R51" i="26"/>
  <c r="A48" i="26"/>
  <c r="S47" i="26"/>
  <c r="R47" i="26"/>
  <c r="R46" i="26"/>
  <c r="R45" i="26"/>
  <c r="S45" i="26" s="1"/>
  <c r="E44" i="26"/>
  <c r="R41" i="26"/>
  <c r="S41" i="26" s="1"/>
  <c r="R40" i="26"/>
  <c r="D40" i="26"/>
  <c r="J37" i="26"/>
  <c r="E36" i="26"/>
  <c r="K32" i="26"/>
  <c r="E32" i="26"/>
  <c r="R29" i="26"/>
  <c r="S29" i="26" s="1"/>
  <c r="S28" i="26"/>
  <c r="R28" i="26"/>
  <c r="A27" i="26"/>
  <c r="R24" i="26"/>
  <c r="S24" i="26" s="1"/>
  <c r="K24" i="26"/>
  <c r="E24" i="26"/>
  <c r="R23" i="26"/>
  <c r="S23" i="26" s="1"/>
  <c r="K20" i="26"/>
  <c r="E20" i="26"/>
  <c r="R19" i="26"/>
  <c r="R15" i="26"/>
  <c r="S15" i="26" s="1"/>
  <c r="J15" i="26"/>
  <c r="F52" i="26" s="1"/>
  <c r="D15" i="26"/>
  <c r="S14" i="26"/>
  <c r="R14" i="26"/>
  <c r="J11" i="26"/>
  <c r="F48" i="26" s="1"/>
  <c r="D11" i="26"/>
  <c r="D27" i="26" s="1"/>
  <c r="R10" i="26"/>
  <c r="S10" i="26" s="1"/>
  <c r="S9" i="26"/>
  <c r="R9" i="26"/>
  <c r="E124" i="29"/>
  <c r="E123" i="29"/>
  <c r="E126" i="29" s="1"/>
  <c r="E119" i="29"/>
  <c r="D115" i="29"/>
  <c r="J112" i="29"/>
  <c r="I114" i="29" s="1"/>
  <c r="E111" i="29"/>
  <c r="K107" i="29"/>
  <c r="E107" i="29"/>
  <c r="I115" i="29" s="1"/>
  <c r="G102" i="29"/>
  <c r="C98" i="29"/>
  <c r="G92" i="29"/>
  <c r="C92" i="29"/>
  <c r="J88" i="29"/>
  <c r="J92" i="29" s="1"/>
  <c r="P85" i="29"/>
  <c r="E80" i="29"/>
  <c r="E79" i="29"/>
  <c r="J78" i="29"/>
  <c r="R74" i="29"/>
  <c r="S74" i="29" s="1"/>
  <c r="R73" i="29"/>
  <c r="S73" i="29" s="1"/>
  <c r="K73" i="29"/>
  <c r="K72" i="29"/>
  <c r="K74" i="29" s="1"/>
  <c r="E72" i="29"/>
  <c r="E71" i="29"/>
  <c r="S69" i="29"/>
  <c r="R69" i="29"/>
  <c r="R68" i="29"/>
  <c r="S68" i="29" s="1"/>
  <c r="D68" i="29"/>
  <c r="D67" i="29"/>
  <c r="E74" i="29" s="1"/>
  <c r="K65" i="29"/>
  <c r="K67" i="29" s="1"/>
  <c r="S64" i="29"/>
  <c r="R64" i="29"/>
  <c r="K64" i="29"/>
  <c r="S63" i="29"/>
  <c r="R63" i="29"/>
  <c r="R62" i="29"/>
  <c r="S62" i="29" s="1"/>
  <c r="D62" i="29"/>
  <c r="S61" i="29"/>
  <c r="P84" i="29" s="1"/>
  <c r="R61" i="29"/>
  <c r="J61" i="29"/>
  <c r="D61" i="29"/>
  <c r="J60" i="29"/>
  <c r="D60" i="29"/>
  <c r="R57" i="29"/>
  <c r="S57" i="29" s="1"/>
  <c r="S56" i="29"/>
  <c r="R56" i="29"/>
  <c r="R55" i="29"/>
  <c r="S55" i="29" s="1"/>
  <c r="S54" i="29"/>
  <c r="R54" i="29"/>
  <c r="R50" i="29"/>
  <c r="S50" i="29" s="1"/>
  <c r="S49" i="29"/>
  <c r="R49" i="29"/>
  <c r="R48" i="29"/>
  <c r="S48" i="29" s="1"/>
  <c r="F45" i="29"/>
  <c r="R44" i="29"/>
  <c r="S44" i="29" s="1"/>
  <c r="R43" i="29"/>
  <c r="S43" i="29" s="1"/>
  <c r="R42" i="29"/>
  <c r="S42" i="29" s="1"/>
  <c r="A41" i="29"/>
  <c r="R38" i="29"/>
  <c r="S38" i="29" s="1"/>
  <c r="R37" i="29"/>
  <c r="S37" i="29" s="1"/>
  <c r="C35" i="29"/>
  <c r="K29" i="29"/>
  <c r="K31" i="29" s="1"/>
  <c r="E29" i="29"/>
  <c r="R26" i="29"/>
  <c r="S26" i="29" s="1"/>
  <c r="S25" i="29"/>
  <c r="R25" i="29"/>
  <c r="K25" i="29"/>
  <c r="E25" i="29"/>
  <c r="S21" i="29"/>
  <c r="R21" i="29"/>
  <c r="R20" i="29"/>
  <c r="S20" i="29" s="1"/>
  <c r="J18" i="29"/>
  <c r="D18" i="29"/>
  <c r="E20" i="29" s="1"/>
  <c r="S16" i="29"/>
  <c r="R16" i="29"/>
  <c r="J14" i="29"/>
  <c r="K20" i="29" s="1"/>
  <c r="E125" i="29" s="1"/>
  <c r="D14" i="29"/>
  <c r="S12" i="29"/>
  <c r="R12" i="29"/>
  <c r="S11" i="29"/>
  <c r="R11" i="29"/>
  <c r="K10" i="29"/>
  <c r="I9" i="29"/>
  <c r="D9" i="29"/>
  <c r="R7" i="29"/>
  <c r="R6" i="29"/>
  <c r="I6" i="29"/>
  <c r="I3" i="29"/>
  <c r="E95" i="8"/>
  <c r="D95" i="8"/>
  <c r="I76" i="8"/>
  <c r="S75" i="8"/>
  <c r="Q75" i="8"/>
  <c r="M75" i="8"/>
  <c r="F75" i="8"/>
  <c r="O75" i="8" s="1"/>
  <c r="S74" i="8"/>
  <c r="Q74" i="8"/>
  <c r="O74" i="8"/>
  <c r="M74" i="8"/>
  <c r="F74" i="8"/>
  <c r="S73" i="8"/>
  <c r="Q73" i="8"/>
  <c r="M73" i="8"/>
  <c r="F73" i="8"/>
  <c r="O73" i="8" s="1"/>
  <c r="S72" i="8"/>
  <c r="Q72" i="8"/>
  <c r="O72" i="8"/>
  <c r="M72" i="8"/>
  <c r="S71" i="8"/>
  <c r="O71" i="8"/>
  <c r="M71" i="8"/>
  <c r="S70" i="8"/>
  <c r="O70" i="8"/>
  <c r="M70" i="8"/>
  <c r="F70" i="8"/>
  <c r="S69" i="8"/>
  <c r="O69" i="8"/>
  <c r="M69" i="8"/>
  <c r="F69" i="8"/>
  <c r="S68" i="8"/>
  <c r="O68" i="8"/>
  <c r="M68" i="8"/>
  <c r="F68" i="8"/>
  <c r="S67" i="8"/>
  <c r="O67" i="8"/>
  <c r="M67" i="8"/>
  <c r="S66" i="8"/>
  <c r="Q66" i="8"/>
  <c r="O66" i="8"/>
  <c r="S65" i="8"/>
  <c r="Q65" i="8"/>
  <c r="O65" i="8"/>
  <c r="M65" i="8"/>
  <c r="H65" i="8"/>
  <c r="S64" i="8"/>
  <c r="Q64" i="8"/>
  <c r="O64" i="8"/>
  <c r="H64" i="8"/>
  <c r="M64" i="8" s="1"/>
  <c r="S63" i="8"/>
  <c r="Q63" i="8"/>
  <c r="O63" i="8"/>
  <c r="S62" i="8"/>
  <c r="O62" i="8"/>
  <c r="M62" i="8"/>
  <c r="H62" i="8"/>
  <c r="Q62" i="8" s="1"/>
  <c r="S61" i="8"/>
  <c r="Q61" i="8"/>
  <c r="O61" i="8"/>
  <c r="S60" i="8"/>
  <c r="Q60" i="8"/>
  <c r="O60" i="8"/>
  <c r="M60" i="8"/>
  <c r="H60" i="8"/>
  <c r="S59" i="8"/>
  <c r="Q59" i="8"/>
  <c r="O59" i="8"/>
  <c r="M59" i="8"/>
  <c r="S58" i="8"/>
  <c r="O58" i="8"/>
  <c r="M58" i="8"/>
  <c r="S57" i="8"/>
  <c r="Q57" i="8"/>
  <c r="O57" i="8"/>
  <c r="S56" i="8"/>
  <c r="Q56" i="8"/>
  <c r="O56" i="8"/>
  <c r="M56" i="8"/>
  <c r="H56" i="8"/>
  <c r="S55" i="8"/>
  <c r="Q55" i="8"/>
  <c r="O55" i="8"/>
  <c r="K55" i="8"/>
  <c r="S54" i="8"/>
  <c r="Q54" i="8"/>
  <c r="O54" i="8"/>
  <c r="S53" i="8"/>
  <c r="Q53" i="8"/>
  <c r="O53" i="8"/>
  <c r="S52" i="8"/>
  <c r="O52" i="8"/>
  <c r="H52" i="8"/>
  <c r="S51" i="8"/>
  <c r="Q51" i="8"/>
  <c r="O51" i="8"/>
  <c r="S50" i="8"/>
  <c r="Q50" i="8"/>
  <c r="O50" i="8"/>
  <c r="S49" i="8"/>
  <c r="O49" i="8"/>
  <c r="K49" i="8"/>
  <c r="H49" i="8"/>
  <c r="Q49" i="8" s="1"/>
  <c r="S48" i="8"/>
  <c r="Q48" i="8"/>
  <c r="O48" i="8"/>
  <c r="S47" i="8"/>
  <c r="Q47" i="8"/>
  <c r="O47" i="8"/>
  <c r="K47" i="8"/>
  <c r="H47" i="8"/>
  <c r="S46" i="8"/>
  <c r="O46" i="8"/>
  <c r="H46" i="8"/>
  <c r="S45" i="8"/>
  <c r="O45" i="8"/>
  <c r="S44" i="8"/>
  <c r="O44" i="8"/>
  <c r="H44" i="8"/>
  <c r="Q44" i="8" s="1"/>
  <c r="S43" i="8"/>
  <c r="O43" i="8"/>
  <c r="S42" i="8"/>
  <c r="Q42" i="8"/>
  <c r="O42" i="8"/>
  <c r="K42" i="8"/>
  <c r="S41" i="8"/>
  <c r="O41" i="8"/>
  <c r="H41" i="8"/>
  <c r="S40" i="8"/>
  <c r="O40" i="8"/>
  <c r="S39" i="8"/>
  <c r="O39" i="8"/>
  <c r="H39" i="8"/>
  <c r="Q39" i="8" s="1"/>
  <c r="S38" i="8"/>
  <c r="O38" i="8"/>
  <c r="S37" i="8"/>
  <c r="O37" i="8"/>
  <c r="S36" i="8"/>
  <c r="O36" i="8"/>
  <c r="S35" i="8"/>
  <c r="Q35" i="8"/>
  <c r="O35" i="8"/>
  <c r="H35" i="8"/>
  <c r="K35" i="8" s="1"/>
  <c r="S34" i="8"/>
  <c r="Q34" i="8"/>
  <c r="O34" i="8"/>
  <c r="H34" i="8"/>
  <c r="K34" i="8" s="1"/>
  <c r="S33" i="8"/>
  <c r="O33" i="8"/>
  <c r="H33" i="8"/>
  <c r="S32" i="8"/>
  <c r="O32" i="8"/>
  <c r="S31" i="8"/>
  <c r="Q31" i="8"/>
  <c r="O31" i="8"/>
  <c r="K31" i="8"/>
  <c r="H31" i="8"/>
  <c r="S30" i="8"/>
  <c r="Q30" i="8"/>
  <c r="O30" i="8"/>
  <c r="K30" i="8"/>
  <c r="H30" i="8"/>
  <c r="S29" i="8"/>
  <c r="Q29" i="8"/>
  <c r="O29" i="8"/>
  <c r="K29" i="8"/>
  <c r="H29" i="8"/>
  <c r="S28" i="8"/>
  <c r="Q28" i="8"/>
  <c r="O28" i="8"/>
  <c r="H28" i="8"/>
  <c r="K28" i="8" s="1"/>
  <c r="S27" i="8"/>
  <c r="Q27" i="8"/>
  <c r="O27" i="8"/>
  <c r="S26" i="8"/>
  <c r="Q26" i="8"/>
  <c r="O26" i="8"/>
  <c r="H26" i="8"/>
  <c r="K26" i="8" s="1"/>
  <c r="S25" i="8"/>
  <c r="Q25" i="8"/>
  <c r="O25" i="8"/>
  <c r="H25" i="8"/>
  <c r="S24" i="8"/>
  <c r="Q24" i="8"/>
  <c r="O24" i="8"/>
  <c r="K24" i="8"/>
  <c r="J13" i="8"/>
  <c r="J12" i="8"/>
  <c r="J11" i="8"/>
  <c r="J10" i="8"/>
  <c r="P9" i="8"/>
  <c r="J9" i="8"/>
  <c r="P8" i="8"/>
  <c r="P7" i="8"/>
  <c r="P6" i="8"/>
  <c r="C6" i="8"/>
  <c r="P3" i="8"/>
  <c r="H58" i="8" s="1"/>
  <c r="Q58" i="8" s="1"/>
  <c r="C161" i="32"/>
  <c r="C95" i="32"/>
  <c r="C69" i="32"/>
  <c r="I1138" i="30"/>
  <c r="J1138" i="30" s="1"/>
  <c r="J1139" i="30" s="1"/>
  <c r="F1144" i="30" s="1"/>
  <c r="J1134" i="30"/>
  <c r="J1135" i="30" s="1"/>
  <c r="F1143" i="30" s="1"/>
  <c r="J1133" i="30"/>
  <c r="F1130" i="30"/>
  <c r="I1103" i="30"/>
  <c r="J1103" i="30" s="1"/>
  <c r="J1104" i="30" s="1"/>
  <c r="F1109" i="30" s="1"/>
  <c r="J1100" i="30"/>
  <c r="F1108" i="30" s="1"/>
  <c r="J1099" i="30"/>
  <c r="J1098" i="30"/>
  <c r="F1076" i="30"/>
  <c r="F1075" i="30"/>
  <c r="F1080" i="30" s="1"/>
  <c r="J1067" i="30"/>
  <c r="J1066" i="30"/>
  <c r="J1065" i="30"/>
  <c r="F1062" i="30"/>
  <c r="I1070" i="30" s="1"/>
  <c r="J1070" i="30" s="1"/>
  <c r="J1071" i="30" s="1"/>
  <c r="K1038" i="30"/>
  <c r="F1043" i="30" s="1"/>
  <c r="K1037" i="30"/>
  <c r="I1037" i="30"/>
  <c r="K1036" i="30"/>
  <c r="I1036" i="30"/>
  <c r="I1035" i="30"/>
  <c r="K1035" i="30" s="1"/>
  <c r="K1031" i="30"/>
  <c r="K1032" i="30" s="1"/>
  <c r="F1042" i="30" s="1"/>
  <c r="K1030" i="30"/>
  <c r="F1014" i="30"/>
  <c r="J1010" i="30"/>
  <c r="F1015" i="30" s="1"/>
  <c r="J1005" i="30"/>
  <c r="J1004" i="30"/>
  <c r="J1006" i="30" s="1"/>
  <c r="F1001" i="30"/>
  <c r="I1009" i="30" s="1"/>
  <c r="J1009" i="30" s="1"/>
  <c r="F981" i="30"/>
  <c r="J977" i="30"/>
  <c r="F982" i="30" s="1"/>
  <c r="J976" i="30"/>
  <c r="J972" i="30"/>
  <c r="J971" i="30"/>
  <c r="J973" i="30" s="1"/>
  <c r="F968" i="30"/>
  <c r="I943" i="30"/>
  <c r="K943" i="30" s="1"/>
  <c r="K944" i="30" s="1"/>
  <c r="F949" i="30" s="1"/>
  <c r="K939" i="30"/>
  <c r="K938" i="30"/>
  <c r="K940" i="30" s="1"/>
  <c r="F948" i="30" s="1"/>
  <c r="F952" i="30" s="1"/>
  <c r="I908" i="30"/>
  <c r="K908" i="30" s="1"/>
  <c r="K909" i="30" s="1"/>
  <c r="F914" i="30" s="1"/>
  <c r="K904" i="30"/>
  <c r="K903" i="30"/>
  <c r="K905" i="30" s="1"/>
  <c r="F913" i="30" s="1"/>
  <c r="G876" i="30"/>
  <c r="G875" i="30"/>
  <c r="G874" i="30"/>
  <c r="G873" i="30"/>
  <c r="G877" i="30" s="1"/>
  <c r="J852" i="30"/>
  <c r="J853" i="30" s="1"/>
  <c r="F858" i="30" s="1"/>
  <c r="I852" i="30"/>
  <c r="J849" i="30"/>
  <c r="F857" i="30" s="1"/>
  <c r="J848" i="30"/>
  <c r="J847" i="30"/>
  <c r="F844" i="30"/>
  <c r="F826" i="30"/>
  <c r="F827" i="30" s="1"/>
  <c r="F825" i="30"/>
  <c r="J816" i="30"/>
  <c r="J817" i="30" s="1"/>
  <c r="F822" i="30" s="1"/>
  <c r="I816" i="30"/>
  <c r="J812" i="30"/>
  <c r="J813" i="30" s="1"/>
  <c r="F821" i="30" s="1"/>
  <c r="J811" i="30"/>
  <c r="F808" i="30"/>
  <c r="F784" i="30"/>
  <c r="J779" i="30"/>
  <c r="I778" i="30"/>
  <c r="J778" i="30" s="1"/>
  <c r="J773" i="30"/>
  <c r="J774" i="30" s="1"/>
  <c r="G770" i="30"/>
  <c r="I779" i="30" s="1"/>
  <c r="F770" i="30"/>
  <c r="F753" i="30"/>
  <c r="F754" i="30" s="1"/>
  <c r="J743" i="30"/>
  <c r="J744" i="30" s="1"/>
  <c r="F749" i="30" s="1"/>
  <c r="I743" i="30"/>
  <c r="J740" i="30"/>
  <c r="F748" i="30" s="1"/>
  <c r="F752" i="30" s="1"/>
  <c r="J739" i="30"/>
  <c r="F736" i="30"/>
  <c r="I704" i="30"/>
  <c r="J704" i="30" s="1"/>
  <c r="J707" i="30" s="1"/>
  <c r="F712" i="30" s="1"/>
  <c r="I701" i="30"/>
  <c r="J701" i="30" s="1"/>
  <c r="J692" i="30"/>
  <c r="J693" i="30" s="1"/>
  <c r="F711" i="30" s="1"/>
  <c r="J691" i="30"/>
  <c r="I688" i="30"/>
  <c r="H688" i="30"/>
  <c r="G688" i="30"/>
  <c r="I698" i="30" s="1"/>
  <c r="J698" i="30" s="1"/>
  <c r="F688" i="30"/>
  <c r="I696" i="30" s="1"/>
  <c r="J696" i="30" s="1"/>
  <c r="F659" i="30"/>
  <c r="I654" i="30"/>
  <c r="J654" i="30" s="1"/>
  <c r="J655" i="30" s="1"/>
  <c r="F660" i="30" s="1"/>
  <c r="J650" i="30"/>
  <c r="J649" i="30"/>
  <c r="J651" i="30" s="1"/>
  <c r="F646" i="30"/>
  <c r="J619" i="30"/>
  <c r="J620" i="30" s="1"/>
  <c r="F625" i="30" s="1"/>
  <c r="I619" i="30"/>
  <c r="J615" i="30"/>
  <c r="J616" i="30" s="1"/>
  <c r="F624" i="30" s="1"/>
  <c r="J614" i="30"/>
  <c r="J613" i="30"/>
  <c r="F610" i="30"/>
  <c r="F587" i="30"/>
  <c r="J577" i="30"/>
  <c r="J576" i="30"/>
  <c r="J578" i="30" s="1"/>
  <c r="F586" i="30" s="1"/>
  <c r="F590" i="30" s="1"/>
  <c r="F573" i="30"/>
  <c r="I581" i="30" s="1"/>
  <c r="J581" i="30" s="1"/>
  <c r="J583" i="30" s="1"/>
  <c r="I544" i="30"/>
  <c r="J544" i="30" s="1"/>
  <c r="J546" i="30" s="1"/>
  <c r="J540" i="30"/>
  <c r="J539" i="30"/>
  <c r="J541" i="30" s="1"/>
  <c r="F550" i="30" s="1"/>
  <c r="F536" i="30"/>
  <c r="F514" i="30"/>
  <c r="I508" i="30"/>
  <c r="J508" i="30" s="1"/>
  <c r="J510" i="30" s="1"/>
  <c r="F515" i="30" s="1"/>
  <c r="J504" i="30"/>
  <c r="J505" i="30" s="1"/>
  <c r="J503" i="30"/>
  <c r="F500" i="30"/>
  <c r="F479" i="30"/>
  <c r="J468" i="30"/>
  <c r="J469" i="30" s="1"/>
  <c r="F478" i="30" s="1"/>
  <c r="F482" i="30" s="1"/>
  <c r="J467" i="30"/>
  <c r="F464" i="30"/>
  <c r="I472" i="30" s="1"/>
  <c r="J472" i="30" s="1"/>
  <c r="J474" i="30" s="1"/>
  <c r="J438" i="30"/>
  <c r="F443" i="30" s="1"/>
  <c r="I436" i="30"/>
  <c r="J436" i="30" s="1"/>
  <c r="J432" i="30"/>
  <c r="J433" i="30" s="1"/>
  <c r="F442" i="30" s="1"/>
  <c r="J431" i="30"/>
  <c r="F428" i="30"/>
  <c r="J402" i="30"/>
  <c r="F407" i="30" s="1"/>
  <c r="I401" i="30"/>
  <c r="J401" i="30" s="1"/>
  <c r="J397" i="30"/>
  <c r="J396" i="30"/>
  <c r="F377" i="30"/>
  <c r="F373" i="30"/>
  <c r="F378" i="30" s="1"/>
  <c r="J368" i="30"/>
  <c r="J369" i="30" s="1"/>
  <c r="F374" i="30" s="1"/>
  <c r="F379" i="30" s="1"/>
  <c r="I368" i="30"/>
  <c r="J364" i="30"/>
  <c r="J363" i="30"/>
  <c r="J365" i="30" s="1"/>
  <c r="F360" i="30"/>
  <c r="F336" i="30"/>
  <c r="J331" i="30"/>
  <c r="J332" i="30" s="1"/>
  <c r="F337" i="30" s="1"/>
  <c r="I331" i="30"/>
  <c r="J328" i="30"/>
  <c r="J327" i="30"/>
  <c r="J326" i="30"/>
  <c r="F323" i="30"/>
  <c r="F305" i="30"/>
  <c r="F304" i="30"/>
  <c r="F301" i="30"/>
  <c r="F306" i="30" s="1"/>
  <c r="J291" i="30"/>
  <c r="J292" i="30" s="1"/>
  <c r="F300" i="30" s="1"/>
  <c r="F288" i="30"/>
  <c r="I295" i="30" s="1"/>
  <c r="J295" i="30" s="1"/>
  <c r="J296" i="30" s="1"/>
  <c r="I260" i="30"/>
  <c r="J260" i="30" s="1"/>
  <c r="J261" i="30" s="1"/>
  <c r="F266" i="30" s="1"/>
  <c r="J256" i="30"/>
  <c r="J257" i="30" s="1"/>
  <c r="F265" i="30" s="1"/>
  <c r="F253" i="30"/>
  <c r="F230" i="30"/>
  <c r="I225" i="30"/>
  <c r="J225" i="30" s="1"/>
  <c r="J226" i="30" s="1"/>
  <c r="F231" i="30" s="1"/>
  <c r="J222" i="30"/>
  <c r="J221" i="30"/>
  <c r="F218" i="30"/>
  <c r="F200" i="30"/>
  <c r="J192" i="30"/>
  <c r="F197" i="30" s="1"/>
  <c r="J187" i="30"/>
  <c r="J188" i="30" s="1"/>
  <c r="F196" i="30" s="1"/>
  <c r="F201" i="30" s="1"/>
  <c r="F184" i="30"/>
  <c r="I191" i="30" s="1"/>
  <c r="J191" i="30" s="1"/>
  <c r="F169" i="30"/>
  <c r="F168" i="30"/>
  <c r="F166" i="30"/>
  <c r="F162" i="30"/>
  <c r="F167" i="30" s="1"/>
  <c r="J157" i="30"/>
  <c r="J158" i="30" s="1"/>
  <c r="F163" i="30" s="1"/>
  <c r="J154" i="30"/>
  <c r="J153" i="30"/>
  <c r="F150" i="30"/>
  <c r="I157" i="30" s="1"/>
  <c r="F135" i="30"/>
  <c r="F134" i="30"/>
  <c r="F132" i="30"/>
  <c r="I123" i="30"/>
  <c r="J123" i="30" s="1"/>
  <c r="J124" i="30" s="1"/>
  <c r="F129" i="30" s="1"/>
  <c r="J119" i="30"/>
  <c r="J118" i="30"/>
  <c r="J120" i="30" s="1"/>
  <c r="F128" i="30" s="1"/>
  <c r="F133" i="30" s="1"/>
  <c r="F115" i="30"/>
  <c r="F93" i="30"/>
  <c r="K84" i="30"/>
  <c r="K85" i="30" s="1"/>
  <c r="F81" i="30"/>
  <c r="I88" i="30" s="1"/>
  <c r="K88" i="30" s="1"/>
  <c r="K89" i="30" s="1"/>
  <c r="F94" i="30" s="1"/>
  <c r="F63" i="30"/>
  <c r="F59" i="30"/>
  <c r="F64" i="30" s="1"/>
  <c r="J51" i="30"/>
  <c r="J50" i="30"/>
  <c r="F47" i="30"/>
  <c r="I54" i="30" s="1"/>
  <c r="J54" i="30" s="1"/>
  <c r="J55" i="30" s="1"/>
  <c r="F60" i="30" s="1"/>
  <c r="F65" i="30" s="1"/>
  <c r="F30" i="30"/>
  <c r="F26" i="30"/>
  <c r="F31" i="30" s="1"/>
  <c r="J16" i="30"/>
  <c r="J17" i="30" s="1"/>
  <c r="F25" i="30" s="1"/>
  <c r="F29" i="30" s="1"/>
  <c r="F13" i="30"/>
  <c r="I20" i="30" s="1"/>
  <c r="J20" i="30" s="1"/>
  <c r="J21" i="30" s="1"/>
  <c r="Q63" i="31"/>
  <c r="P63" i="31"/>
  <c r="O63" i="31"/>
  <c r="N63" i="31"/>
  <c r="M63" i="31"/>
  <c r="L63" i="31"/>
  <c r="K63" i="31"/>
  <c r="J63" i="31"/>
  <c r="I63" i="31"/>
  <c r="H63" i="31"/>
  <c r="G63" i="31"/>
  <c r="F63" i="31"/>
  <c r="C62" i="31"/>
  <c r="C30" i="31"/>
  <c r="C28" i="31"/>
  <c r="C26" i="31"/>
  <c r="M24" i="31"/>
  <c r="C24" i="31"/>
  <c r="C22" i="31"/>
  <c r="C18" i="31"/>
  <c r="C16" i="31"/>
  <c r="C14" i="31"/>
  <c r="C6" i="31"/>
  <c r="C5" i="31"/>
  <c r="C4" i="31"/>
  <c r="K428" i="1"/>
  <c r="G428" i="1" s="1"/>
  <c r="H428" i="1" s="1"/>
  <c r="C228" i="32" s="1"/>
  <c r="K427" i="1"/>
  <c r="G427" i="1" s="1"/>
  <c r="H427" i="1" s="1"/>
  <c r="K425" i="1"/>
  <c r="G425" i="1" s="1"/>
  <c r="H425" i="1" s="1"/>
  <c r="C34" i="32" s="1"/>
  <c r="F425" i="1"/>
  <c r="K424" i="1"/>
  <c r="G424" i="1"/>
  <c r="K423" i="1"/>
  <c r="G423" i="1"/>
  <c r="H423" i="1" s="1"/>
  <c r="F423" i="1"/>
  <c r="K421" i="1"/>
  <c r="G421" i="1" s="1"/>
  <c r="F421" i="1"/>
  <c r="H421" i="1" s="1"/>
  <c r="C226" i="32" s="1"/>
  <c r="K420" i="1"/>
  <c r="G420" i="1"/>
  <c r="H420" i="1" s="1"/>
  <c r="C173" i="32" s="1"/>
  <c r="F420" i="1"/>
  <c r="K419" i="1"/>
  <c r="G419" i="1" s="1"/>
  <c r="H419" i="1" s="1"/>
  <c r="C218" i="32" s="1"/>
  <c r="F419" i="1"/>
  <c r="K418" i="1"/>
  <c r="G418" i="1" s="1"/>
  <c r="H418" i="1" s="1"/>
  <c r="C158" i="32" s="1"/>
  <c r="F418" i="1"/>
  <c r="K417" i="1"/>
  <c r="G417" i="1"/>
  <c r="H417" i="1" s="1"/>
  <c r="C183" i="32" s="1"/>
  <c r="F417" i="1"/>
  <c r="K416" i="1"/>
  <c r="G416" i="1"/>
  <c r="H416" i="1" s="1"/>
  <c r="C306" i="32" s="1"/>
  <c r="F416" i="1"/>
  <c r="F415" i="1"/>
  <c r="K414" i="1"/>
  <c r="G414" i="1" s="1"/>
  <c r="H414" i="1"/>
  <c r="C91" i="32" s="1"/>
  <c r="F414" i="1"/>
  <c r="F413" i="1"/>
  <c r="K412" i="1"/>
  <c r="G412" i="1"/>
  <c r="F412" i="1"/>
  <c r="K411" i="1"/>
  <c r="H411" i="1"/>
  <c r="C245" i="32" s="1"/>
  <c r="G411" i="1"/>
  <c r="F411" i="1"/>
  <c r="K410" i="1"/>
  <c r="G410" i="1" s="1"/>
  <c r="F410" i="1"/>
  <c r="H410" i="1" s="1"/>
  <c r="C174" i="32" s="1"/>
  <c r="K409" i="1"/>
  <c r="G409" i="1"/>
  <c r="H409" i="1" s="1"/>
  <c r="C247" i="32" s="1"/>
  <c r="F409" i="1"/>
  <c r="K408" i="1"/>
  <c r="G408" i="1" s="1"/>
  <c r="F408" i="1"/>
  <c r="K407" i="1"/>
  <c r="G407" i="1" s="1"/>
  <c r="H407" i="1" s="1"/>
  <c r="C26" i="32" s="1"/>
  <c r="F407" i="1"/>
  <c r="K406" i="1"/>
  <c r="G406" i="1"/>
  <c r="F406" i="1"/>
  <c r="H406" i="1" s="1"/>
  <c r="C179" i="32" s="1"/>
  <c r="K405" i="1"/>
  <c r="H405" i="1"/>
  <c r="C139" i="32" s="1"/>
  <c r="G405" i="1"/>
  <c r="F405" i="1"/>
  <c r="K404" i="1"/>
  <c r="G404" i="1" s="1"/>
  <c r="F404" i="1"/>
  <c r="H404" i="1" s="1"/>
  <c r="C163" i="32" s="1"/>
  <c r="K403" i="1"/>
  <c r="G403" i="1"/>
  <c r="H403" i="1" s="1"/>
  <c r="F403" i="1"/>
  <c r="K400" i="1"/>
  <c r="G400" i="1"/>
  <c r="F400" i="1"/>
  <c r="H400" i="1" s="1"/>
  <c r="C330" i="32" s="1"/>
  <c r="K399" i="1"/>
  <c r="G399" i="1" s="1"/>
  <c r="H399" i="1"/>
  <c r="C90" i="32" s="1"/>
  <c r="F399" i="1"/>
  <c r="K398" i="1"/>
  <c r="G398" i="1"/>
  <c r="F398" i="1"/>
  <c r="H398" i="1" s="1"/>
  <c r="C277" i="32" s="1"/>
  <c r="F397" i="1"/>
  <c r="K396" i="1"/>
  <c r="G396" i="1"/>
  <c r="F396" i="1"/>
  <c r="H396" i="1" s="1"/>
  <c r="C253" i="32" s="1"/>
  <c r="F395" i="1"/>
  <c r="K394" i="1"/>
  <c r="G394" i="1" s="1"/>
  <c r="F394" i="1"/>
  <c r="H394" i="1" s="1"/>
  <c r="C223" i="32" s="1"/>
  <c r="K393" i="1"/>
  <c r="G393" i="1" s="1"/>
  <c r="H393" i="1" s="1"/>
  <c r="C208" i="32" s="1"/>
  <c r="F393" i="1"/>
  <c r="K392" i="1"/>
  <c r="H392" i="1"/>
  <c r="C159" i="32" s="1"/>
  <c r="G392" i="1"/>
  <c r="F392" i="1"/>
  <c r="K391" i="1"/>
  <c r="G391" i="1"/>
  <c r="H391" i="1" s="1"/>
  <c r="C272" i="32" s="1"/>
  <c r="F391" i="1"/>
  <c r="K390" i="1"/>
  <c r="G390" i="1" s="1"/>
  <c r="F390" i="1"/>
  <c r="K389" i="1"/>
  <c r="G389" i="1"/>
  <c r="H389" i="1" s="1"/>
  <c r="C214" i="32" s="1"/>
  <c r="F389" i="1"/>
  <c r="K388" i="1"/>
  <c r="G388" i="1" s="1"/>
  <c r="F388" i="1"/>
  <c r="H388" i="1" s="1"/>
  <c r="C62" i="32" s="1"/>
  <c r="K387" i="1"/>
  <c r="G387" i="1"/>
  <c r="H387" i="1" s="1"/>
  <c r="C292" i="32" s="1"/>
  <c r="F387" i="1"/>
  <c r="K386" i="1"/>
  <c r="H386" i="1"/>
  <c r="C56" i="32" s="1"/>
  <c r="G386" i="1"/>
  <c r="F386" i="1"/>
  <c r="K385" i="1"/>
  <c r="G385" i="1" s="1"/>
  <c r="H385" i="1" s="1"/>
  <c r="C217" i="32" s="1"/>
  <c r="F385" i="1"/>
  <c r="K384" i="1"/>
  <c r="G384" i="1"/>
  <c r="F384" i="1"/>
  <c r="K382" i="1"/>
  <c r="G382" i="1"/>
  <c r="H382" i="1" s="1"/>
  <c r="F382" i="1"/>
  <c r="K380" i="1"/>
  <c r="H380" i="1"/>
  <c r="C185" i="32" s="1"/>
  <c r="G380" i="1"/>
  <c r="F380" i="1"/>
  <c r="K379" i="1"/>
  <c r="G379" i="1" s="1"/>
  <c r="H379" i="1" s="1"/>
  <c r="C215" i="32" s="1"/>
  <c r="F379" i="1"/>
  <c r="F378" i="1"/>
  <c r="K377" i="1"/>
  <c r="G377" i="1" s="1"/>
  <c r="F377" i="1"/>
  <c r="F375" i="1"/>
  <c r="F373" i="1"/>
  <c r="F371" i="1"/>
  <c r="F370" i="1"/>
  <c r="F369" i="1"/>
  <c r="K368" i="1"/>
  <c r="G368" i="1" s="1"/>
  <c r="F368" i="1"/>
  <c r="H368" i="1" s="1"/>
  <c r="C248" i="32" s="1"/>
  <c r="F367" i="1"/>
  <c r="F366" i="1"/>
  <c r="F365" i="1"/>
  <c r="F364" i="1"/>
  <c r="F361" i="1"/>
  <c r="K360" i="1"/>
  <c r="H360" i="1"/>
  <c r="C211" i="32" s="1"/>
  <c r="G360" i="1"/>
  <c r="F360" i="1"/>
  <c r="F359" i="1"/>
  <c r="K358" i="1"/>
  <c r="G358" i="1" s="1"/>
  <c r="H358" i="1" s="1"/>
  <c r="C191" i="32" s="1"/>
  <c r="F358" i="1"/>
  <c r="F357" i="1"/>
  <c r="F356" i="1"/>
  <c r="F355" i="1"/>
  <c r="F354" i="1"/>
  <c r="F353" i="1"/>
  <c r="F352" i="1"/>
  <c r="F351" i="1"/>
  <c r="K350" i="1"/>
  <c r="G350" i="1"/>
  <c r="F350" i="1"/>
  <c r="H350" i="1" s="1"/>
  <c r="C182" i="32" s="1"/>
  <c r="K349" i="1"/>
  <c r="G349" i="1"/>
  <c r="H349" i="1" s="1"/>
  <c r="C212" i="32" s="1"/>
  <c r="F349" i="1"/>
  <c r="K348" i="1"/>
  <c r="G348" i="1"/>
  <c r="F348" i="1"/>
  <c r="H348" i="1" s="1"/>
  <c r="C85" i="32" s="1"/>
  <c r="K347" i="1"/>
  <c r="G347" i="1"/>
  <c r="H347" i="1" s="1"/>
  <c r="F347" i="1"/>
  <c r="K346" i="1"/>
  <c r="G346" i="1"/>
  <c r="F346" i="1"/>
  <c r="H346" i="1" s="1"/>
  <c r="C33" i="32" s="1"/>
  <c r="K345" i="1"/>
  <c r="G345" i="1" s="1"/>
  <c r="H345" i="1"/>
  <c r="F345" i="1"/>
  <c r="K343" i="1"/>
  <c r="G343" i="1" s="1"/>
  <c r="F343" i="1"/>
  <c r="K342" i="1"/>
  <c r="G342" i="1"/>
  <c r="H342" i="1" s="1"/>
  <c r="C239" i="32" s="1"/>
  <c r="F342" i="1"/>
  <c r="K341" i="1"/>
  <c r="G341" i="1" s="1"/>
  <c r="F341" i="1"/>
  <c r="H341" i="1" s="1"/>
  <c r="C265" i="32" s="1"/>
  <c r="K340" i="1"/>
  <c r="G340" i="1" s="1"/>
  <c r="H340" i="1" s="1"/>
  <c r="C285" i="32" s="1"/>
  <c r="F340" i="1"/>
  <c r="K339" i="1"/>
  <c r="G339" i="1" s="1"/>
  <c r="F339" i="1"/>
  <c r="H339" i="1" s="1"/>
  <c r="C297" i="32" s="1"/>
  <c r="K338" i="1"/>
  <c r="H338" i="1"/>
  <c r="C331" i="32" s="1"/>
  <c r="G338" i="1"/>
  <c r="F338" i="1"/>
  <c r="K337" i="1"/>
  <c r="G337" i="1" s="1"/>
  <c r="F337" i="1"/>
  <c r="H337" i="1" s="1"/>
  <c r="C293" i="32" s="1"/>
  <c r="K336" i="1"/>
  <c r="G336" i="1" s="1"/>
  <c r="H336" i="1"/>
  <c r="C333" i="32" s="1"/>
  <c r="F336" i="1"/>
  <c r="K335" i="1"/>
  <c r="G335" i="1" s="1"/>
  <c r="F335" i="1"/>
  <c r="K334" i="1"/>
  <c r="G334" i="1"/>
  <c r="H334" i="1" s="1"/>
  <c r="C209" i="32" s="1"/>
  <c r="F334" i="1"/>
  <c r="K333" i="1"/>
  <c r="G333" i="1" s="1"/>
  <c r="F333" i="1"/>
  <c r="H333" i="1" s="1"/>
  <c r="C318" i="32" s="1"/>
  <c r="K332" i="1"/>
  <c r="G332" i="1" s="1"/>
  <c r="H332" i="1" s="1"/>
  <c r="C238" i="32" s="1"/>
  <c r="F332" i="1"/>
  <c r="K331" i="1"/>
  <c r="G331" i="1" s="1"/>
  <c r="F331" i="1"/>
  <c r="H331" i="1" s="1"/>
  <c r="C189" i="32" s="1"/>
  <c r="K329" i="1"/>
  <c r="H329" i="1"/>
  <c r="C289" i="32" s="1"/>
  <c r="G329" i="1"/>
  <c r="F329" i="1"/>
  <c r="K328" i="1"/>
  <c r="G328" i="1" s="1"/>
  <c r="F328" i="1"/>
  <c r="H328" i="1" s="1"/>
  <c r="C271" i="32" s="1"/>
  <c r="K327" i="1"/>
  <c r="G327" i="1" s="1"/>
  <c r="H327" i="1"/>
  <c r="C326" i="32" s="1"/>
  <c r="F327" i="1"/>
  <c r="K326" i="1"/>
  <c r="G326" i="1" s="1"/>
  <c r="F326" i="1"/>
  <c r="K325" i="1"/>
  <c r="G325" i="1"/>
  <c r="H325" i="1" s="1"/>
  <c r="C192" i="32" s="1"/>
  <c r="F325" i="1"/>
  <c r="K324" i="1"/>
  <c r="G324" i="1" s="1"/>
  <c r="F324" i="1"/>
  <c r="H324" i="1" s="1"/>
  <c r="C302" i="32" s="1"/>
  <c r="K323" i="1"/>
  <c r="G323" i="1" s="1"/>
  <c r="H323" i="1" s="1"/>
  <c r="C246" i="32" s="1"/>
  <c r="F323" i="1"/>
  <c r="K322" i="1"/>
  <c r="G322" i="1" s="1"/>
  <c r="F322" i="1"/>
  <c r="H322" i="1" s="1"/>
  <c r="C168" i="32" s="1"/>
  <c r="K321" i="1"/>
  <c r="G321" i="1"/>
  <c r="H321" i="1" s="1"/>
  <c r="C305" i="32" s="1"/>
  <c r="F321" i="1"/>
  <c r="K320" i="1"/>
  <c r="G320" i="1" s="1"/>
  <c r="F320" i="1"/>
  <c r="H320" i="1" s="1"/>
  <c r="C261" i="32" s="1"/>
  <c r="K319" i="1"/>
  <c r="G319" i="1" s="1"/>
  <c r="H319" i="1"/>
  <c r="C244" i="32" s="1"/>
  <c r="F319" i="1"/>
  <c r="K318" i="1"/>
  <c r="G318" i="1" s="1"/>
  <c r="F318" i="1"/>
  <c r="H318" i="1" s="1"/>
  <c r="C199" i="32" s="1"/>
  <c r="K317" i="1"/>
  <c r="G317" i="1"/>
  <c r="H317" i="1" s="1"/>
  <c r="C96" i="32" s="1"/>
  <c r="F317" i="1"/>
  <c r="K315" i="1"/>
  <c r="G315" i="1" s="1"/>
  <c r="F315" i="1"/>
  <c r="H315" i="1" s="1"/>
  <c r="C288" i="32" s="1"/>
  <c r="K314" i="1"/>
  <c r="G314" i="1" s="1"/>
  <c r="H314" i="1"/>
  <c r="C234" i="32" s="1"/>
  <c r="F314" i="1"/>
  <c r="K313" i="1"/>
  <c r="G313" i="1" s="1"/>
  <c r="F313" i="1"/>
  <c r="H313" i="1" s="1"/>
  <c r="C138" i="32" s="1"/>
  <c r="K312" i="1"/>
  <c r="H312" i="1"/>
  <c r="C266" i="32" s="1"/>
  <c r="G312" i="1"/>
  <c r="F312" i="1"/>
  <c r="F311" i="1"/>
  <c r="F310" i="1"/>
  <c r="K308" i="1"/>
  <c r="G308" i="1"/>
  <c r="F308" i="1"/>
  <c r="H308" i="1" s="1"/>
  <c r="C210" i="32" s="1"/>
  <c r="K306" i="1"/>
  <c r="G306" i="1" s="1"/>
  <c r="F306" i="1"/>
  <c r="H306" i="1" s="1"/>
  <c r="C83" i="32" s="1"/>
  <c r="K304" i="1"/>
  <c r="G304" i="1"/>
  <c r="F304" i="1"/>
  <c r="H304" i="1" s="1"/>
  <c r="C136" i="32" s="1"/>
  <c r="K303" i="1"/>
  <c r="G303" i="1"/>
  <c r="F303" i="1"/>
  <c r="K302" i="1"/>
  <c r="G302" i="1"/>
  <c r="H302" i="1" s="1"/>
  <c r="C103" i="32" s="1"/>
  <c r="F302" i="1"/>
  <c r="K301" i="1"/>
  <c r="G301" i="1" s="1"/>
  <c r="F301" i="1"/>
  <c r="K300" i="1"/>
  <c r="H300" i="1"/>
  <c r="C154" i="32" s="1"/>
  <c r="G300" i="1"/>
  <c r="F300" i="1"/>
  <c r="K299" i="1"/>
  <c r="G299" i="1"/>
  <c r="F299" i="1"/>
  <c r="K298" i="1"/>
  <c r="G298" i="1"/>
  <c r="F298" i="1"/>
  <c r="H298" i="1" s="1"/>
  <c r="C286" i="32" s="1"/>
  <c r="K297" i="1"/>
  <c r="G297" i="1" s="1"/>
  <c r="F297" i="1"/>
  <c r="H297" i="1" s="1"/>
  <c r="C204" i="32" s="1"/>
  <c r="K296" i="1"/>
  <c r="G296" i="1"/>
  <c r="F296" i="1"/>
  <c r="H296" i="1" s="1"/>
  <c r="C203" i="32" s="1"/>
  <c r="K295" i="1"/>
  <c r="G295" i="1"/>
  <c r="F295" i="1"/>
  <c r="K294" i="1"/>
  <c r="G294" i="1"/>
  <c r="H294" i="1" s="1"/>
  <c r="C123" i="32" s="1"/>
  <c r="F294" i="1"/>
  <c r="K293" i="1"/>
  <c r="G293" i="1"/>
  <c r="F293" i="1"/>
  <c r="H293" i="1" s="1"/>
  <c r="C122" i="32" s="1"/>
  <c r="K292" i="1"/>
  <c r="G292" i="1"/>
  <c r="F292" i="1"/>
  <c r="H292" i="1" s="1"/>
  <c r="C282" i="32" s="1"/>
  <c r="K291" i="1"/>
  <c r="G291" i="1"/>
  <c r="F291" i="1"/>
  <c r="H291" i="1" s="1"/>
  <c r="C281" i="32" s="1"/>
  <c r="K290" i="1"/>
  <c r="G290" i="1"/>
  <c r="F290" i="1"/>
  <c r="H290" i="1" s="1"/>
  <c r="C152" i="32" s="1"/>
  <c r="K289" i="1"/>
  <c r="G289" i="1" s="1"/>
  <c r="F289" i="1"/>
  <c r="H289" i="1" s="1"/>
  <c r="C109" i="32" s="1"/>
  <c r="K287" i="1"/>
  <c r="G287" i="1" s="1"/>
  <c r="F287" i="1"/>
  <c r="H287" i="1" s="1"/>
  <c r="C60" i="32" s="1"/>
  <c r="K286" i="1"/>
  <c r="G286" i="1" s="1"/>
  <c r="F286" i="1"/>
  <c r="K285" i="1"/>
  <c r="H285" i="1"/>
  <c r="C73" i="32" s="1"/>
  <c r="G285" i="1"/>
  <c r="F285" i="1"/>
  <c r="K284" i="1"/>
  <c r="G284" i="1"/>
  <c r="F284" i="1"/>
  <c r="K283" i="1"/>
  <c r="G283" i="1"/>
  <c r="F283" i="1"/>
  <c r="H283" i="1" s="1"/>
  <c r="C164" i="32" s="1"/>
  <c r="K281" i="1"/>
  <c r="G281" i="1"/>
  <c r="F281" i="1"/>
  <c r="H281" i="1" s="1"/>
  <c r="C243" i="32" s="1"/>
  <c r="K280" i="1"/>
  <c r="G280" i="1"/>
  <c r="F280" i="1"/>
  <c r="K279" i="1"/>
  <c r="G279" i="1" s="1"/>
  <c r="F279" i="1"/>
  <c r="K278" i="1"/>
  <c r="G278" i="1" s="1"/>
  <c r="F278" i="1"/>
  <c r="H278" i="1" s="1"/>
  <c r="C323" i="32" s="1"/>
  <c r="K277" i="1"/>
  <c r="G277" i="1"/>
  <c r="F277" i="1"/>
  <c r="K275" i="1"/>
  <c r="G275" i="1"/>
  <c r="H275" i="1" s="1"/>
  <c r="F275" i="1"/>
  <c r="K272" i="1"/>
  <c r="G272" i="1" s="1"/>
  <c r="F272" i="1"/>
  <c r="K271" i="1"/>
  <c r="G271" i="1"/>
  <c r="F271" i="1"/>
  <c r="H271" i="1" s="1"/>
  <c r="C325" i="32" s="1"/>
  <c r="F270" i="1"/>
  <c r="K269" i="1"/>
  <c r="G269" i="1"/>
  <c r="F269" i="1"/>
  <c r="K268" i="1"/>
  <c r="G268" i="1"/>
  <c r="F268" i="1"/>
  <c r="H268" i="1" s="1"/>
  <c r="C171" i="32" s="1"/>
  <c r="K267" i="1"/>
  <c r="G267" i="1"/>
  <c r="F267" i="1"/>
  <c r="K266" i="1"/>
  <c r="G266" i="1"/>
  <c r="F266" i="1"/>
  <c r="H266" i="1" s="1"/>
  <c r="C312" i="32" s="1"/>
  <c r="K265" i="1"/>
  <c r="G265" i="1"/>
  <c r="F265" i="1"/>
  <c r="H265" i="1" s="1"/>
  <c r="C296" i="32" s="1"/>
  <c r="K264" i="1"/>
  <c r="G264" i="1"/>
  <c r="F264" i="1"/>
  <c r="H264" i="1" s="1"/>
  <c r="C216" i="32" s="1"/>
  <c r="K263" i="1"/>
  <c r="G263" i="1"/>
  <c r="F263" i="1"/>
  <c r="K262" i="1"/>
  <c r="G262" i="1"/>
  <c r="F262" i="1"/>
  <c r="H262" i="1" s="1"/>
  <c r="C201" i="32" s="1"/>
  <c r="K261" i="1"/>
  <c r="G261" i="1"/>
  <c r="F261" i="1"/>
  <c r="K260" i="1"/>
  <c r="G260" i="1"/>
  <c r="F260" i="1"/>
  <c r="H260" i="1" s="1"/>
  <c r="C249" i="32" s="1"/>
  <c r="K259" i="1"/>
  <c r="G259" i="1"/>
  <c r="F259" i="1"/>
  <c r="F258" i="1"/>
  <c r="K257" i="1"/>
  <c r="G257" i="1" s="1"/>
  <c r="H257" i="1" s="1"/>
  <c r="C236" i="32" s="1"/>
  <c r="F257" i="1"/>
  <c r="K256" i="1"/>
  <c r="G256" i="1"/>
  <c r="F256" i="1"/>
  <c r="K255" i="1"/>
  <c r="G255" i="1"/>
  <c r="H255" i="1" s="1"/>
  <c r="C227" i="32" s="1"/>
  <c r="F255" i="1"/>
  <c r="K254" i="1"/>
  <c r="G254" i="1"/>
  <c r="F254" i="1"/>
  <c r="H254" i="1" s="1"/>
  <c r="C197" i="32" s="1"/>
  <c r="K253" i="1"/>
  <c r="H253" i="1"/>
  <c r="C167" i="32" s="1"/>
  <c r="G253" i="1"/>
  <c r="F253" i="1"/>
  <c r="K252" i="1"/>
  <c r="G252" i="1"/>
  <c r="F252" i="1"/>
  <c r="H252" i="1" s="1"/>
  <c r="C231" i="32" s="1"/>
  <c r="K251" i="1"/>
  <c r="G251" i="1" s="1"/>
  <c r="H251" i="1" s="1"/>
  <c r="C153" i="32" s="1"/>
  <c r="F251" i="1"/>
  <c r="K250" i="1"/>
  <c r="G250" i="1" s="1"/>
  <c r="F250" i="1"/>
  <c r="H250" i="1" s="1"/>
  <c r="C273" i="32" s="1"/>
  <c r="K249" i="1"/>
  <c r="G249" i="1" s="1"/>
  <c r="H249" i="1"/>
  <c r="C251" i="32" s="1"/>
  <c r="F249" i="1"/>
  <c r="K248" i="1"/>
  <c r="G248" i="1" s="1"/>
  <c r="F248" i="1"/>
  <c r="K247" i="1"/>
  <c r="H247" i="1"/>
  <c r="C298" i="32" s="1"/>
  <c r="G247" i="1"/>
  <c r="F247" i="1"/>
  <c r="K246" i="1"/>
  <c r="G246" i="1"/>
  <c r="F246" i="1"/>
  <c r="K245" i="1"/>
  <c r="G245" i="1"/>
  <c r="H245" i="1" s="1"/>
  <c r="F245" i="1"/>
  <c r="K243" i="1"/>
  <c r="G243" i="1"/>
  <c r="F243" i="1"/>
  <c r="H243" i="1" s="1"/>
  <c r="C166" i="32" s="1"/>
  <c r="G242" i="1"/>
  <c r="K240" i="1"/>
  <c r="G240" i="1"/>
  <c r="F240" i="1"/>
  <c r="H240" i="1" s="1"/>
  <c r="C105" i="32" s="1"/>
  <c r="K239" i="1"/>
  <c r="G239" i="1" s="1"/>
  <c r="F239" i="1"/>
  <c r="H239" i="1" s="1"/>
  <c r="C193" i="32" s="1"/>
  <c r="F238" i="1"/>
  <c r="K237" i="1"/>
  <c r="G237" i="1"/>
  <c r="H237" i="1" s="1"/>
  <c r="C202" i="32" s="1"/>
  <c r="F237" i="1"/>
  <c r="K236" i="1"/>
  <c r="G236" i="1" s="1"/>
  <c r="F236" i="1"/>
  <c r="K235" i="1"/>
  <c r="G235" i="1"/>
  <c r="H235" i="1" s="1"/>
  <c r="C280" i="32" s="1"/>
  <c r="F235" i="1"/>
  <c r="K234" i="1"/>
  <c r="G234" i="1"/>
  <c r="F234" i="1"/>
  <c r="K233" i="1"/>
  <c r="G233" i="1" s="1"/>
  <c r="H233" i="1" s="1"/>
  <c r="C131" i="32" s="1"/>
  <c r="F233" i="1"/>
  <c r="K232" i="1"/>
  <c r="G232" i="1" s="1"/>
  <c r="F232" i="1"/>
  <c r="H232" i="1" s="1"/>
  <c r="C190" i="32" s="1"/>
  <c r="K231" i="1"/>
  <c r="G231" i="1" s="1"/>
  <c r="H231" i="1"/>
  <c r="C176" i="32" s="1"/>
  <c r="F231" i="1"/>
  <c r="K230" i="1"/>
  <c r="G230" i="1" s="1"/>
  <c r="F230" i="1"/>
  <c r="K229" i="1"/>
  <c r="G229" i="1" s="1"/>
  <c r="H229" i="1" s="1"/>
  <c r="C219" i="32" s="1"/>
  <c r="F229" i="1"/>
  <c r="K228" i="1"/>
  <c r="G228" i="1"/>
  <c r="F228" i="1"/>
  <c r="K227" i="1"/>
  <c r="G227" i="1"/>
  <c r="H227" i="1" s="1"/>
  <c r="C137" i="32" s="1"/>
  <c r="F227" i="1"/>
  <c r="K226" i="1"/>
  <c r="G226" i="1"/>
  <c r="F226" i="1"/>
  <c r="H226" i="1" s="1"/>
  <c r="C181" i="32" s="1"/>
  <c r="K225" i="1"/>
  <c r="G225" i="1"/>
  <c r="H225" i="1" s="1"/>
  <c r="C170" i="32" s="1"/>
  <c r="F225" i="1"/>
  <c r="K224" i="1"/>
  <c r="G224" i="1" s="1"/>
  <c r="F224" i="1"/>
  <c r="H224" i="1" s="1"/>
  <c r="K223" i="1"/>
  <c r="H223" i="1"/>
  <c r="C195" i="32" s="1"/>
  <c r="G223" i="1"/>
  <c r="F223" i="1"/>
  <c r="K222" i="1"/>
  <c r="G222" i="1"/>
  <c r="F222" i="1"/>
  <c r="K221" i="1"/>
  <c r="G221" i="1"/>
  <c r="H221" i="1" s="1"/>
  <c r="C80" i="32" s="1"/>
  <c r="F221" i="1"/>
  <c r="K220" i="1"/>
  <c r="G220" i="1"/>
  <c r="F220" i="1"/>
  <c r="H220" i="1" s="1"/>
  <c r="C175" i="32" s="1"/>
  <c r="K218" i="1"/>
  <c r="H218" i="1"/>
  <c r="C51" i="32" s="1"/>
  <c r="G218" i="1"/>
  <c r="F218" i="1"/>
  <c r="K217" i="1"/>
  <c r="G217" i="1"/>
  <c r="F217" i="1"/>
  <c r="H217" i="1" s="1"/>
  <c r="C101" i="32" s="1"/>
  <c r="K215" i="1"/>
  <c r="K214" i="1"/>
  <c r="G214" i="1" s="1"/>
  <c r="H214" i="1"/>
  <c r="C35" i="32" s="1"/>
  <c r="F214" i="1"/>
  <c r="K213" i="1"/>
  <c r="G213" i="1"/>
  <c r="F213" i="1"/>
  <c r="H213" i="1" s="1"/>
  <c r="C294" i="32" s="1"/>
  <c r="K212" i="1"/>
  <c r="G212" i="1" s="1"/>
  <c r="F212" i="1"/>
  <c r="K211" i="1"/>
  <c r="G211" i="1"/>
  <c r="F211" i="1"/>
  <c r="H211" i="1" s="1"/>
  <c r="C198" i="32" s="1"/>
  <c r="K210" i="1"/>
  <c r="G210" i="1" s="1"/>
  <c r="H210" i="1"/>
  <c r="C255" i="32" s="1"/>
  <c r="F210" i="1"/>
  <c r="K209" i="1"/>
  <c r="G209" i="1"/>
  <c r="F209" i="1"/>
  <c r="H209" i="1" s="1"/>
  <c r="C270" i="32" s="1"/>
  <c r="K207" i="1"/>
  <c r="G207" i="1" s="1"/>
  <c r="F207" i="1"/>
  <c r="H207" i="1" s="1"/>
  <c r="C311" i="32" s="1"/>
  <c r="K206" i="1"/>
  <c r="G206" i="1"/>
  <c r="H206" i="1" s="1"/>
  <c r="C268" i="32" s="1"/>
  <c r="F206" i="1"/>
  <c r="K205" i="1"/>
  <c r="G205" i="1" s="1"/>
  <c r="F205" i="1"/>
  <c r="H205" i="1" s="1"/>
  <c r="C291" i="32" s="1"/>
  <c r="K204" i="1"/>
  <c r="G204" i="1"/>
  <c r="F204" i="1"/>
  <c r="K203" i="1"/>
  <c r="G203" i="1" s="1"/>
  <c r="F203" i="1"/>
  <c r="H203" i="1" s="1"/>
  <c r="C320" i="32" s="1"/>
  <c r="K202" i="1"/>
  <c r="G202" i="1"/>
  <c r="F202" i="1"/>
  <c r="H202" i="1" s="1"/>
  <c r="C256" i="32" s="1"/>
  <c r="K201" i="1"/>
  <c r="G201" i="1" s="1"/>
  <c r="H201" i="1"/>
  <c r="C206" i="32" s="1"/>
  <c r="F201" i="1"/>
  <c r="K200" i="1"/>
  <c r="G200" i="1"/>
  <c r="H200" i="1" s="1"/>
  <c r="C301" i="32" s="1"/>
  <c r="F200" i="1"/>
  <c r="K199" i="1"/>
  <c r="G199" i="1" s="1"/>
  <c r="F199" i="1"/>
  <c r="H199" i="1" s="1"/>
  <c r="C233" i="32" s="1"/>
  <c r="K198" i="1"/>
  <c r="G198" i="1"/>
  <c r="F198" i="1"/>
  <c r="H198" i="1" s="1"/>
  <c r="C172" i="32" s="1"/>
  <c r="K197" i="1"/>
  <c r="G197" i="1" s="1"/>
  <c r="H197" i="1"/>
  <c r="C308" i="32" s="1"/>
  <c r="F197" i="1"/>
  <c r="K196" i="1"/>
  <c r="G196" i="1"/>
  <c r="F196" i="1"/>
  <c r="H196" i="1" s="1"/>
  <c r="C259" i="32" s="1"/>
  <c r="K195" i="1"/>
  <c r="G195" i="1" s="1"/>
  <c r="F195" i="1"/>
  <c r="H195" i="1" s="1"/>
  <c r="C242" i="32" s="1"/>
  <c r="K194" i="1"/>
  <c r="G194" i="1"/>
  <c r="H194" i="1" s="1"/>
  <c r="C314" i="32" s="1"/>
  <c r="F194" i="1"/>
  <c r="K193" i="1"/>
  <c r="G193" i="1" s="1"/>
  <c r="H193" i="1" s="1"/>
  <c r="C322" i="32" s="1"/>
  <c r="F193" i="1"/>
  <c r="K192" i="1"/>
  <c r="H192" i="1"/>
  <c r="C275" i="32" s="1"/>
  <c r="G192" i="1"/>
  <c r="F192" i="1"/>
  <c r="F191" i="1"/>
  <c r="F190" i="1"/>
  <c r="K188" i="1"/>
  <c r="G188" i="1"/>
  <c r="F188" i="1"/>
  <c r="H188" i="1" s="1"/>
  <c r="C254" i="32" s="1"/>
  <c r="K187" i="1"/>
  <c r="G187" i="1" s="1"/>
  <c r="H187" i="1" s="1"/>
  <c r="C140" i="32" s="1"/>
  <c r="F187" i="1"/>
  <c r="K186" i="1"/>
  <c r="G186" i="1"/>
  <c r="F186" i="1"/>
  <c r="H186" i="1" s="1"/>
  <c r="C127" i="32" s="1"/>
  <c r="K185" i="1"/>
  <c r="G185" i="1" s="1"/>
  <c r="H185" i="1" s="1"/>
  <c r="C63" i="32" s="1"/>
  <c r="F185" i="1"/>
  <c r="K184" i="1"/>
  <c r="G184" i="1"/>
  <c r="F184" i="1"/>
  <c r="H184" i="1" s="1"/>
  <c r="C108" i="32" s="1"/>
  <c r="K182" i="1"/>
  <c r="G182" i="1" s="1"/>
  <c r="H182" i="1" s="1"/>
  <c r="C241" i="32" s="1"/>
  <c r="F182" i="1"/>
  <c r="K181" i="1"/>
  <c r="G181" i="1"/>
  <c r="F181" i="1"/>
  <c r="H181" i="1" s="1"/>
  <c r="C299" i="32" s="1"/>
  <c r="K180" i="1"/>
  <c r="G180" i="1" s="1"/>
  <c r="H180" i="1" s="1"/>
  <c r="C304" i="32" s="1"/>
  <c r="F180" i="1"/>
  <c r="K179" i="1"/>
  <c r="G179" i="1"/>
  <c r="F179" i="1"/>
  <c r="H179" i="1" s="1"/>
  <c r="C279" i="32" s="1"/>
  <c r="K178" i="1"/>
  <c r="G178" i="1" s="1"/>
  <c r="H178" i="1" s="1"/>
  <c r="C200" i="32" s="1"/>
  <c r="F178" i="1"/>
  <c r="K177" i="1"/>
  <c r="G177" i="1"/>
  <c r="F177" i="1"/>
  <c r="H177" i="1" s="1"/>
  <c r="C258" i="32" s="1"/>
  <c r="K176" i="1"/>
  <c r="G176" i="1" s="1"/>
  <c r="H176" i="1" s="1"/>
  <c r="C262" i="32" s="1"/>
  <c r="F176" i="1"/>
  <c r="K175" i="1"/>
  <c r="G175" i="1"/>
  <c r="F175" i="1"/>
  <c r="H175" i="1" s="1"/>
  <c r="C313" i="32" s="1"/>
  <c r="K174" i="1"/>
  <c r="G174" i="1" s="1"/>
  <c r="H174" i="1" s="1"/>
  <c r="C329" i="32" s="1"/>
  <c r="F174" i="1"/>
  <c r="K173" i="1"/>
  <c r="G173" i="1"/>
  <c r="F173" i="1"/>
  <c r="H173" i="1" s="1"/>
  <c r="C307" i="32" s="1"/>
  <c r="K171" i="1"/>
  <c r="G171" i="1" s="1"/>
  <c r="H171" i="1" s="1"/>
  <c r="C144" i="32" s="1"/>
  <c r="F171" i="1"/>
  <c r="K170" i="1"/>
  <c r="G170" i="1"/>
  <c r="F170" i="1"/>
  <c r="H170" i="1" s="1"/>
  <c r="C169" i="32" s="1"/>
  <c r="K169" i="1"/>
  <c r="G169" i="1" s="1"/>
  <c r="H169" i="1" s="1"/>
  <c r="C128" i="32" s="1"/>
  <c r="F169" i="1"/>
  <c r="K168" i="1"/>
  <c r="G168" i="1"/>
  <c r="F168" i="1"/>
  <c r="H168" i="1" s="1"/>
  <c r="C178" i="32" s="1"/>
  <c r="K166" i="1"/>
  <c r="G166" i="1" s="1"/>
  <c r="H166" i="1" s="1"/>
  <c r="C156" i="32" s="1"/>
  <c r="F166" i="1"/>
  <c r="K165" i="1"/>
  <c r="G165" i="1"/>
  <c r="F165" i="1"/>
  <c r="H165" i="1" s="1"/>
  <c r="C194" i="32" s="1"/>
  <c r="K164" i="1"/>
  <c r="G164" i="1" s="1"/>
  <c r="H164" i="1" s="1"/>
  <c r="C98" i="32" s="1"/>
  <c r="F164" i="1"/>
  <c r="K162" i="1"/>
  <c r="G162" i="1"/>
  <c r="F162" i="1"/>
  <c r="H162" i="1" s="1"/>
  <c r="C106" i="32" s="1"/>
  <c r="K160" i="1"/>
  <c r="G160" i="1" s="1"/>
  <c r="H160" i="1" s="1"/>
  <c r="C59" i="32" s="1"/>
  <c r="F160" i="1"/>
  <c r="K158" i="1"/>
  <c r="G158" i="1"/>
  <c r="F158" i="1"/>
  <c r="H158" i="1" s="1"/>
  <c r="C240" i="32" s="1"/>
  <c r="H157" i="1"/>
  <c r="G157" i="1"/>
  <c r="K156" i="1"/>
  <c r="G156" i="1" s="1"/>
  <c r="F156" i="1"/>
  <c r="H156" i="1" s="1"/>
  <c r="C79" i="32" s="1"/>
  <c r="K155" i="1"/>
  <c r="G155" i="1"/>
  <c r="F155" i="1"/>
  <c r="H155" i="1" s="1"/>
  <c r="C113" i="32" s="1"/>
  <c r="K154" i="1"/>
  <c r="G154" i="1" s="1"/>
  <c r="F154" i="1"/>
  <c r="H154" i="1" s="1"/>
  <c r="K151" i="1"/>
  <c r="G151" i="1"/>
  <c r="F151" i="1"/>
  <c r="H151" i="1" s="1"/>
  <c r="C148" i="32" s="1"/>
  <c r="K150" i="1"/>
  <c r="G150" i="1" s="1"/>
  <c r="K149" i="1"/>
  <c r="G149" i="1"/>
  <c r="K148" i="1"/>
  <c r="G148" i="1" s="1"/>
  <c r="K147" i="1"/>
  <c r="G147" i="1"/>
  <c r="K145" i="1"/>
  <c r="G145" i="1" s="1"/>
  <c r="F145" i="1"/>
  <c r="H145" i="1" s="1"/>
  <c r="C321" i="32" s="1"/>
  <c r="K144" i="1"/>
  <c r="H144" i="1"/>
  <c r="C129" i="32" s="1"/>
  <c r="G144" i="1"/>
  <c r="K143" i="1"/>
  <c r="G143" i="1" s="1"/>
  <c r="H143" i="1" s="1"/>
  <c r="C162" i="32" s="1"/>
  <c r="F143" i="1"/>
  <c r="K142" i="1"/>
  <c r="G142" i="1"/>
  <c r="F142" i="1"/>
  <c r="H142" i="1" s="1"/>
  <c r="C55" i="32" s="1"/>
  <c r="K141" i="1"/>
  <c r="G141" i="1" s="1"/>
  <c r="H141" i="1" s="1"/>
  <c r="F141" i="1"/>
  <c r="K139" i="1"/>
  <c r="G139" i="1" s="1"/>
  <c r="F139" i="1"/>
  <c r="K138" i="1"/>
  <c r="G138" i="1" s="1"/>
  <c r="H138" i="1" s="1"/>
  <c r="C118" i="32" s="1"/>
  <c r="F138" i="1"/>
  <c r="K137" i="1"/>
  <c r="G137" i="1"/>
  <c r="K136" i="1"/>
  <c r="G136" i="1"/>
  <c r="K134" i="1"/>
  <c r="G134" i="1"/>
  <c r="F134" i="1"/>
  <c r="K133" i="1"/>
  <c r="G133" i="1"/>
  <c r="K132" i="1"/>
  <c r="G132" i="1"/>
  <c r="K130" i="1"/>
  <c r="G130" i="1" s="1"/>
  <c r="H130" i="1" s="1"/>
  <c r="C141" i="32" s="1"/>
  <c r="F130" i="1"/>
  <c r="K129" i="1"/>
  <c r="G129" i="1"/>
  <c r="F129" i="1"/>
  <c r="H129" i="1" s="1"/>
  <c r="C22" i="32" s="1"/>
  <c r="K128" i="1"/>
  <c r="G128" i="1" s="1"/>
  <c r="H128" i="1" s="1"/>
  <c r="C46" i="32" s="1"/>
  <c r="F128" i="1"/>
  <c r="K127" i="1"/>
  <c r="G127" i="1"/>
  <c r="F127" i="1"/>
  <c r="K124" i="1"/>
  <c r="G124" i="1"/>
  <c r="H124" i="1" s="1"/>
  <c r="C15" i="32" s="1"/>
  <c r="K123" i="1"/>
  <c r="G123" i="1"/>
  <c r="K122" i="1"/>
  <c r="G122" i="1"/>
  <c r="K121" i="1"/>
  <c r="G121" i="1"/>
  <c r="K119" i="1"/>
  <c r="G119" i="1"/>
  <c r="H119" i="1" s="1"/>
  <c r="C29" i="32" s="1"/>
  <c r="F119" i="1"/>
  <c r="K118" i="1"/>
  <c r="G118" i="1" s="1"/>
  <c r="K116" i="1"/>
  <c r="G116" i="1"/>
  <c r="K115" i="1"/>
  <c r="G115" i="1" s="1"/>
  <c r="K113" i="1"/>
  <c r="G113" i="1"/>
  <c r="K110" i="1"/>
  <c r="G110" i="1" s="1"/>
  <c r="F110" i="1"/>
  <c r="H110" i="1" s="1"/>
  <c r="C89" i="32" s="1"/>
  <c r="K109" i="1"/>
  <c r="G109" i="1"/>
  <c r="K106" i="1"/>
  <c r="G106" i="1" s="1"/>
  <c r="K105" i="1"/>
  <c r="G105" i="1" s="1"/>
  <c r="H105" i="1" s="1"/>
  <c r="C45" i="32" s="1"/>
  <c r="F105" i="1"/>
  <c r="K104" i="1"/>
  <c r="G104" i="1" s="1"/>
  <c r="H104" i="1"/>
  <c r="C66" i="32" s="1"/>
  <c r="F104" i="1"/>
  <c r="K102" i="1"/>
  <c r="G102" i="1"/>
  <c r="H102" i="1" s="1"/>
  <c r="C37" i="32" s="1"/>
  <c r="F102" i="1"/>
  <c r="K100" i="1"/>
  <c r="G100" i="1" s="1"/>
  <c r="F100" i="1"/>
  <c r="H100" i="1" s="1"/>
  <c r="C70" i="32" s="1"/>
  <c r="K98" i="1"/>
  <c r="G98" i="1"/>
  <c r="F98" i="1"/>
  <c r="H98" i="1" s="1"/>
  <c r="C20" i="32" s="1"/>
  <c r="K96" i="1"/>
  <c r="G96" i="1" s="1"/>
  <c r="F96" i="1"/>
  <c r="H96" i="1" s="1"/>
  <c r="K93" i="1"/>
  <c r="G93" i="1" s="1"/>
  <c r="H93" i="1"/>
  <c r="E24" i="31" s="1"/>
  <c r="N24" i="31" s="1"/>
  <c r="F93" i="1"/>
  <c r="K90" i="1"/>
  <c r="G90" i="1" s="1"/>
  <c r="F90" i="1"/>
  <c r="H90" i="1" s="1"/>
  <c r="C229" i="32" s="1"/>
  <c r="K89" i="1"/>
  <c r="G89" i="1" s="1"/>
  <c r="K87" i="1"/>
  <c r="G87" i="1" s="1"/>
  <c r="K86" i="1"/>
  <c r="G86" i="1" s="1"/>
  <c r="K85" i="1"/>
  <c r="G85" i="1" s="1"/>
  <c r="H85" i="1"/>
  <c r="C24" i="32" s="1"/>
  <c r="F85" i="1"/>
  <c r="K83" i="1"/>
  <c r="G83" i="1"/>
  <c r="H83" i="1" s="1"/>
  <c r="C48" i="32" s="1"/>
  <c r="F83" i="1"/>
  <c r="K82" i="1"/>
  <c r="G82" i="1" s="1"/>
  <c r="F82" i="1"/>
  <c r="K79" i="1"/>
  <c r="G79" i="1"/>
  <c r="F79" i="1"/>
  <c r="H79" i="1" s="1"/>
  <c r="C88" i="32" s="1"/>
  <c r="K78" i="1"/>
  <c r="G78" i="1" s="1"/>
  <c r="H78" i="1" s="1"/>
  <c r="C107" i="32" s="1"/>
  <c r="F78" i="1"/>
  <c r="K77" i="1"/>
  <c r="G77" i="1"/>
  <c r="F77" i="1"/>
  <c r="H77" i="1" s="1"/>
  <c r="C61" i="32" s="1"/>
  <c r="K76" i="1"/>
  <c r="G76" i="1" s="1"/>
  <c r="H76" i="1"/>
  <c r="C221" i="32" s="1"/>
  <c r="F76" i="1"/>
  <c r="K75" i="1"/>
  <c r="G75" i="1"/>
  <c r="F75" i="1"/>
  <c r="H75" i="1" s="1"/>
  <c r="C92" i="32" s="1"/>
  <c r="K74" i="1"/>
  <c r="G74" i="1" s="1"/>
  <c r="F74" i="1"/>
  <c r="H74" i="1" s="1"/>
  <c r="K71" i="1"/>
  <c r="G71" i="1"/>
  <c r="K69" i="1"/>
  <c r="G69" i="1" s="1"/>
  <c r="K67" i="1"/>
  <c r="G67" i="1" s="1"/>
  <c r="H67" i="1"/>
  <c r="C64" i="32" s="1"/>
  <c r="F67" i="1"/>
  <c r="K65" i="1"/>
  <c r="G65" i="1" s="1"/>
  <c r="F65" i="1"/>
  <c r="H65" i="1" s="1"/>
  <c r="C149" i="32" s="1"/>
  <c r="K63" i="1"/>
  <c r="G63" i="1"/>
  <c r="K60" i="1"/>
  <c r="G60" i="1" s="1"/>
  <c r="F60" i="1"/>
  <c r="H60" i="1" s="1"/>
  <c r="C121" i="32" s="1"/>
  <c r="K59" i="1"/>
  <c r="G59" i="1"/>
  <c r="F59" i="1"/>
  <c r="H59" i="1" s="1"/>
  <c r="C23" i="32" s="1"/>
  <c r="K58" i="1"/>
  <c r="G58" i="1" s="1"/>
  <c r="H58" i="1"/>
  <c r="C134" i="32" s="1"/>
  <c r="F58" i="1"/>
  <c r="K57" i="1"/>
  <c r="G57" i="1"/>
  <c r="F57" i="1"/>
  <c r="H57" i="1" s="1"/>
  <c r="C7" i="32" s="1"/>
  <c r="K56" i="1"/>
  <c r="G56" i="1" s="1"/>
  <c r="F56" i="1"/>
  <c r="H56" i="1" s="1"/>
  <c r="C32" i="32" s="1"/>
  <c r="K55" i="1"/>
  <c r="G55" i="1" s="1"/>
  <c r="H55" i="1" s="1"/>
  <c r="C57" i="32" s="1"/>
  <c r="F55" i="1"/>
  <c r="K54" i="1"/>
  <c r="G54" i="1" s="1"/>
  <c r="K53" i="1"/>
  <c r="G53" i="1"/>
  <c r="K50" i="1"/>
  <c r="G50" i="1"/>
  <c r="H50" i="1" s="1"/>
  <c r="C71" i="32" s="1"/>
  <c r="F50" i="1"/>
  <c r="K49" i="1"/>
  <c r="G49" i="1"/>
  <c r="K48" i="1"/>
  <c r="G48" i="1"/>
  <c r="K47" i="1"/>
  <c r="G47" i="1"/>
  <c r="K46" i="1"/>
  <c r="G46" i="1" s="1"/>
  <c r="H46" i="1" s="1"/>
  <c r="F46" i="1"/>
  <c r="K43" i="1"/>
  <c r="G43" i="1"/>
  <c r="K41" i="1"/>
  <c r="G41" i="1" s="1"/>
  <c r="K40" i="1"/>
  <c r="G40" i="1"/>
  <c r="K38" i="1"/>
  <c r="G38" i="1" s="1"/>
  <c r="H38" i="1" s="1"/>
  <c r="C76" i="32" s="1"/>
  <c r="F38" i="1"/>
  <c r="K37" i="1"/>
  <c r="G37" i="1"/>
  <c r="F37" i="1"/>
  <c r="H37" i="1" s="1"/>
  <c r="C8" i="32" s="1"/>
  <c r="K36" i="1"/>
  <c r="G36" i="1" s="1"/>
  <c r="K33" i="1"/>
  <c r="H33" i="1"/>
  <c r="C160" i="32" s="1"/>
  <c r="G33" i="1"/>
  <c r="K32" i="1"/>
  <c r="G32" i="1"/>
  <c r="H32" i="1" s="1"/>
  <c r="C65" i="32" s="1"/>
  <c r="K31" i="1"/>
  <c r="G31" i="1"/>
  <c r="F31" i="1"/>
  <c r="K30" i="1"/>
  <c r="G30" i="1"/>
  <c r="H30" i="1" s="1"/>
  <c r="C112" i="32" s="1"/>
  <c r="K29" i="1"/>
  <c r="G29" i="1" s="1"/>
  <c r="H29" i="1"/>
  <c r="C125" i="32" s="1"/>
  <c r="F29" i="1"/>
  <c r="K28" i="1"/>
  <c r="G28" i="1"/>
  <c r="H28" i="1" s="1"/>
  <c r="C130" i="32" s="1"/>
  <c r="K27" i="1"/>
  <c r="G27" i="1"/>
  <c r="H27" i="1" s="1"/>
  <c r="C102" i="32" s="1"/>
  <c r="K26" i="1"/>
  <c r="G26" i="1"/>
  <c r="H26" i="1" s="1"/>
  <c r="C237" i="32" s="1"/>
  <c r="K25" i="1"/>
  <c r="H25" i="1"/>
  <c r="C67" i="32" s="1"/>
  <c r="G25" i="1"/>
  <c r="K24" i="1"/>
  <c r="G24" i="1" s="1"/>
  <c r="F24" i="1"/>
  <c r="H24" i="1" s="1"/>
  <c r="K22" i="1"/>
  <c r="G22" i="1" s="1"/>
  <c r="H22" i="1" s="1"/>
  <c r="C75" i="32" s="1"/>
  <c r="K21" i="1"/>
  <c r="G21" i="1"/>
  <c r="H21" i="1" s="1"/>
  <c r="C81" i="32" l="1"/>
  <c r="E10" i="31"/>
  <c r="C111" i="32"/>
  <c r="C126" i="32"/>
  <c r="F66" i="30"/>
  <c r="F67" i="30" s="1"/>
  <c r="J365" i="1" s="1"/>
  <c r="K365" i="1" s="1"/>
  <c r="G365" i="1" s="1"/>
  <c r="H365" i="1" s="1"/>
  <c r="C120" i="32" s="1"/>
  <c r="C27" i="32"/>
  <c r="C186" i="32"/>
  <c r="F629" i="30"/>
  <c r="F628" i="30"/>
  <c r="C19" i="32"/>
  <c r="E38" i="31"/>
  <c r="C278" i="32"/>
  <c r="E20" i="31"/>
  <c r="C117" i="32"/>
  <c r="F32" i="30"/>
  <c r="F33" i="30" s="1"/>
  <c r="J364" i="1" s="1"/>
  <c r="K364" i="1" s="1"/>
  <c r="G364" i="1" s="1"/>
  <c r="H364" i="1" s="1"/>
  <c r="E26" i="31"/>
  <c r="C9" i="32"/>
  <c r="H86" i="1"/>
  <c r="C10" i="32" s="1"/>
  <c r="F755" i="30"/>
  <c r="F756" i="30" s="1"/>
  <c r="J395" i="1" s="1"/>
  <c r="K395" i="1" s="1"/>
  <c r="G395" i="1" s="1"/>
  <c r="H395" i="1" s="1"/>
  <c r="C316" i="32" s="1"/>
  <c r="C150" i="32"/>
  <c r="F828" i="30"/>
  <c r="F829" i="30" s="1"/>
  <c r="J190" i="1" s="1"/>
  <c r="K190" i="1" s="1"/>
  <c r="G190" i="1" s="1"/>
  <c r="H190" i="1" s="1"/>
  <c r="H230" i="1"/>
  <c r="C165" i="32" s="1"/>
  <c r="F1019" i="30"/>
  <c r="F1018" i="30"/>
  <c r="F1079" i="30"/>
  <c r="H127" i="1"/>
  <c r="H228" i="1"/>
  <c r="C97" i="32" s="1"/>
  <c r="H263" i="1"/>
  <c r="C264" i="32" s="1"/>
  <c r="H279" i="1"/>
  <c r="C230" i="32" s="1"/>
  <c r="H299" i="1"/>
  <c r="C287" i="32" s="1"/>
  <c r="H343" i="1"/>
  <c r="C205" i="32" s="1"/>
  <c r="E60" i="31"/>
  <c r="F98" i="30"/>
  <c r="F99" i="30" s="1"/>
  <c r="F97" i="30"/>
  <c r="F136" i="30"/>
  <c r="J367" i="1" s="1"/>
  <c r="K367" i="1" s="1"/>
  <c r="G367" i="1" s="1"/>
  <c r="H367" i="1" s="1"/>
  <c r="C184" i="32" s="1"/>
  <c r="F170" i="30"/>
  <c r="J369" i="1" s="1"/>
  <c r="K369" i="1" s="1"/>
  <c r="G369" i="1" s="1"/>
  <c r="F87" i="1"/>
  <c r="H87" i="1" s="1"/>
  <c r="C42" i="32" s="1"/>
  <c r="H139" i="1"/>
  <c r="C224" i="32" s="1"/>
  <c r="F307" i="30"/>
  <c r="F308" i="30"/>
  <c r="J375" i="1" s="1"/>
  <c r="K375" i="1" s="1"/>
  <c r="G375" i="1" s="1"/>
  <c r="H375" i="1" s="1"/>
  <c r="C146" i="32" s="1"/>
  <c r="F518" i="30"/>
  <c r="F519" i="30"/>
  <c r="F520" i="30" s="1"/>
  <c r="F630" i="30"/>
  <c r="F1047" i="30"/>
  <c r="F1048" i="30" s="1"/>
  <c r="F1046" i="30"/>
  <c r="H31" i="1"/>
  <c r="C119" i="32" s="1"/>
  <c r="H82" i="1"/>
  <c r="H234" i="1"/>
  <c r="C260" i="32" s="1"/>
  <c r="H261" i="1"/>
  <c r="C54" i="32" s="1"/>
  <c r="H269" i="1"/>
  <c r="C300" i="32" s="1"/>
  <c r="H280" i="1"/>
  <c r="C252" i="32" s="1"/>
  <c r="H335" i="1"/>
  <c r="C222" i="32" s="1"/>
  <c r="H384" i="1"/>
  <c r="C147" i="32"/>
  <c r="E58" i="31"/>
  <c r="G430" i="1"/>
  <c r="F341" i="30"/>
  <c r="F342" i="30" s="1"/>
  <c r="F340" i="30"/>
  <c r="F380" i="30"/>
  <c r="F381" i="30" s="1"/>
  <c r="J351" i="1" s="1"/>
  <c r="K351" i="1" s="1"/>
  <c r="G351" i="1" s="1"/>
  <c r="H351" i="1" s="1"/>
  <c r="F591" i="30"/>
  <c r="F592" i="30" s="1"/>
  <c r="F953" i="30"/>
  <c r="F954" i="30" s="1"/>
  <c r="F985" i="30"/>
  <c r="F986" i="30"/>
  <c r="F987" i="30" s="1"/>
  <c r="C309" i="32"/>
  <c r="F789" i="30"/>
  <c r="F788" i="30"/>
  <c r="H301" i="1"/>
  <c r="C155" i="32" s="1"/>
  <c r="H236" i="1"/>
  <c r="C263" i="32" s="1"/>
  <c r="H272" i="1"/>
  <c r="C213" i="32" s="1"/>
  <c r="C53" i="32"/>
  <c r="H390" i="1"/>
  <c r="C104" i="32" s="1"/>
  <c r="F447" i="30"/>
  <c r="F446" i="30"/>
  <c r="F554" i="30"/>
  <c r="F555" i="30"/>
  <c r="F918" i="30"/>
  <c r="F917" i="30"/>
  <c r="F448" i="30"/>
  <c r="F551" i="30"/>
  <c r="F556" i="30" s="1"/>
  <c r="J357" i="1"/>
  <c r="K357" i="1" s="1"/>
  <c r="G357" i="1" s="1"/>
  <c r="H357" i="1" s="1"/>
  <c r="C310" i="32" s="1"/>
  <c r="F919" i="30"/>
  <c r="F664" i="30"/>
  <c r="F665" i="30" s="1"/>
  <c r="F663" i="30"/>
  <c r="F424" i="1"/>
  <c r="H424" i="1" s="1"/>
  <c r="C132" i="32" s="1"/>
  <c r="F89" i="1"/>
  <c r="H89" i="1" s="1"/>
  <c r="C78" i="32" s="1"/>
  <c r="H204" i="1"/>
  <c r="C327" i="32" s="1"/>
  <c r="H212" i="1"/>
  <c r="C207" i="32" s="1"/>
  <c r="H246" i="1"/>
  <c r="C86" i="32" s="1"/>
  <c r="H259" i="1"/>
  <c r="C283" i="32" s="1"/>
  <c r="H267" i="1"/>
  <c r="C196" i="32" s="1"/>
  <c r="H284" i="1"/>
  <c r="C116" i="32" s="1"/>
  <c r="H326" i="1"/>
  <c r="C319" i="32" s="1"/>
  <c r="F202" i="30"/>
  <c r="F269" i="30"/>
  <c r="F270" i="30"/>
  <c r="F271" i="30" s="1"/>
  <c r="F715" i="30"/>
  <c r="F716" i="30"/>
  <c r="F717" i="30" s="1"/>
  <c r="J780" i="30"/>
  <c r="F785" i="30" s="1"/>
  <c r="F790" i="30" s="1"/>
  <c r="C143" i="32"/>
  <c r="H248" i="1"/>
  <c r="C232" i="32" s="1"/>
  <c r="H277" i="1"/>
  <c r="C267" i="32" s="1"/>
  <c r="H295" i="1"/>
  <c r="C124" i="32" s="1"/>
  <c r="C68" i="32"/>
  <c r="E52" i="31"/>
  <c r="F1081" i="30"/>
  <c r="F1148" i="30"/>
  <c r="F1147" i="30"/>
  <c r="F235" i="30"/>
  <c r="F236" i="30" s="1"/>
  <c r="F234" i="30"/>
  <c r="F1149" i="30"/>
  <c r="H134" i="1"/>
  <c r="C38" i="32" s="1"/>
  <c r="H222" i="1"/>
  <c r="C84" i="32" s="1"/>
  <c r="H256" i="1"/>
  <c r="C87" i="32" s="1"/>
  <c r="H286" i="1"/>
  <c r="C157" i="32" s="1"/>
  <c r="H303" i="1"/>
  <c r="C44" i="32" s="1"/>
  <c r="H377" i="1"/>
  <c r="C177" i="32" s="1"/>
  <c r="F483" i="30"/>
  <c r="F484" i="30" s="1"/>
  <c r="F862" i="30"/>
  <c r="F863" i="30" s="1"/>
  <c r="F861" i="30"/>
  <c r="F1020" i="30"/>
  <c r="F1112" i="30"/>
  <c r="F1113" i="30"/>
  <c r="F1114" i="30" s="1"/>
  <c r="H412" i="1"/>
  <c r="C151" i="32" s="1"/>
  <c r="J398" i="30"/>
  <c r="F406" i="30" s="1"/>
  <c r="H369" i="1"/>
  <c r="C290" i="32" s="1"/>
  <c r="H408" i="1"/>
  <c r="C114" i="32" s="1"/>
  <c r="Q52" i="8"/>
  <c r="K52" i="8"/>
  <c r="C36" i="29"/>
  <c r="A50" i="29" s="1"/>
  <c r="F50" i="29" s="1"/>
  <c r="F43" i="1" s="1"/>
  <c r="H43" i="1" s="1"/>
  <c r="C72" i="32" s="1"/>
  <c r="P83" i="29"/>
  <c r="F54" i="1" s="1"/>
  <c r="H54" i="1" s="1"/>
  <c r="C11" i="32" s="1"/>
  <c r="C53" i="5"/>
  <c r="B99" i="26"/>
  <c r="G22" i="13"/>
  <c r="F242" i="1" s="1"/>
  <c r="H242" i="1" s="1"/>
  <c r="C50" i="32" s="1"/>
  <c r="S76" i="9"/>
  <c r="D105" i="9"/>
  <c r="F132" i="1" s="1"/>
  <c r="H132" i="1" s="1"/>
  <c r="C12" i="32" s="1"/>
  <c r="D104" i="9"/>
  <c r="F133" i="1" s="1"/>
  <c r="H133" i="1" s="1"/>
  <c r="C14" i="32" s="1"/>
  <c r="D94" i="8"/>
  <c r="F109" i="1" s="1"/>
  <c r="H109" i="1" s="1"/>
  <c r="C112" i="9"/>
  <c r="C111" i="9"/>
  <c r="A56" i="26"/>
  <c r="E56" i="26" s="1"/>
  <c r="G27" i="26"/>
  <c r="E28" i="6"/>
  <c r="C40" i="6" s="1"/>
  <c r="D23" i="6"/>
  <c r="D28" i="6" s="1"/>
  <c r="G41" i="7"/>
  <c r="I26" i="7"/>
  <c r="U26" i="9"/>
  <c r="D112" i="9" s="1"/>
  <c r="F136" i="1" s="1"/>
  <c r="H136" i="1" s="1"/>
  <c r="K76" i="9"/>
  <c r="Q33" i="8"/>
  <c r="K33" i="8"/>
  <c r="P33" i="26"/>
  <c r="O83" i="26"/>
  <c r="F41" i="29"/>
  <c r="B47" i="29" s="1"/>
  <c r="F40" i="1" s="1"/>
  <c r="H40" i="1" s="1"/>
  <c r="C110" i="32" s="1"/>
  <c r="M75" i="9"/>
  <c r="H63" i="8"/>
  <c r="M63" i="8" s="1"/>
  <c r="H53" i="8"/>
  <c r="K53" i="8" s="1"/>
  <c r="H48" i="8"/>
  <c r="K48" i="8" s="1"/>
  <c r="H36" i="8"/>
  <c r="H57" i="8"/>
  <c r="M57" i="8" s="1"/>
  <c r="O76" i="8"/>
  <c r="D88" i="8" s="1"/>
  <c r="H54" i="8"/>
  <c r="K54" i="8" s="1"/>
  <c r="F55" i="29"/>
  <c r="F49" i="1" s="1"/>
  <c r="H49" i="1" s="1"/>
  <c r="C18" i="32" s="1"/>
  <c r="Q76" i="9"/>
  <c r="H61" i="8"/>
  <c r="M61" i="8" s="1"/>
  <c r="K39" i="8"/>
  <c r="K44" i="8"/>
  <c r="E31" i="29"/>
  <c r="C34" i="29" s="1"/>
  <c r="F36" i="1" s="1"/>
  <c r="H36" i="1" s="1"/>
  <c r="A45" i="29"/>
  <c r="O80" i="29"/>
  <c r="O24" i="9"/>
  <c r="O76" i="9" s="1"/>
  <c r="D85" i="9" s="1"/>
  <c r="G97" i="9" s="1"/>
  <c r="I54" i="12"/>
  <c r="J58" i="12" s="1"/>
  <c r="J60" i="12" s="1"/>
  <c r="F106" i="1" s="1"/>
  <c r="H106" i="1" s="1"/>
  <c r="C58" i="32" s="1"/>
  <c r="S76" i="8"/>
  <c r="P29" i="29"/>
  <c r="F47" i="1" s="1"/>
  <c r="H47" i="1" s="1"/>
  <c r="C21" i="32" s="1"/>
  <c r="O79" i="29"/>
  <c r="A52" i="26"/>
  <c r="B53" i="26" s="1"/>
  <c r="I27" i="7"/>
  <c r="E41" i="7"/>
  <c r="H49" i="9"/>
  <c r="M49" i="9" s="1"/>
  <c r="O49" i="9" s="1"/>
  <c r="H56" i="9"/>
  <c r="M56" i="9" s="1"/>
  <c r="H62" i="9"/>
  <c r="M62" i="9" s="1"/>
  <c r="H65" i="9"/>
  <c r="M65" i="9" s="1"/>
  <c r="F76" i="9"/>
  <c r="U68" i="9"/>
  <c r="D84" i="9"/>
  <c r="F120" i="1" s="1"/>
  <c r="H37" i="8"/>
  <c r="K25" i="8"/>
  <c r="Q41" i="8"/>
  <c r="K41" i="8"/>
  <c r="Q46" i="8"/>
  <c r="K46" i="8"/>
  <c r="P32" i="26"/>
  <c r="O82" i="26"/>
  <c r="M74" i="9"/>
  <c r="U74" i="9"/>
  <c r="P30" i="29"/>
  <c r="F48" i="1" s="1"/>
  <c r="H48" i="1" s="1"/>
  <c r="C49" i="32" s="1"/>
  <c r="I95" i="29"/>
  <c r="F53" i="1" s="1"/>
  <c r="H53" i="1" s="1"/>
  <c r="C6" i="32" s="1"/>
  <c r="C39" i="6"/>
  <c r="H37" i="9"/>
  <c r="M37" i="9" s="1"/>
  <c r="D89" i="9" s="1"/>
  <c r="H45" i="9"/>
  <c r="M45" i="9" s="1"/>
  <c r="D86" i="9" s="1"/>
  <c r="F121" i="1" s="1"/>
  <c r="H121" i="1" s="1"/>
  <c r="C40" i="32" s="1"/>
  <c r="H150" i="9"/>
  <c r="F118" i="1" s="1"/>
  <c r="H118" i="1" s="1"/>
  <c r="C115" i="32" s="1"/>
  <c r="H50" i="8"/>
  <c r="K50" i="8" s="1"/>
  <c r="H38" i="8"/>
  <c r="H43" i="8"/>
  <c r="H51" i="8"/>
  <c r="K51" i="8" s="1"/>
  <c r="H27" i="8"/>
  <c r="K27" i="8" s="1"/>
  <c r="H66" i="8"/>
  <c r="M66" i="8" s="1"/>
  <c r="D98" i="9"/>
  <c r="H32" i="8"/>
  <c r="H40" i="8"/>
  <c r="H45" i="8"/>
  <c r="F955" i="30" l="1"/>
  <c r="F956" i="30" s="1"/>
  <c r="J311" i="1" s="1"/>
  <c r="K311" i="1" s="1"/>
  <c r="G311" i="1" s="1"/>
  <c r="H311" i="1" s="1"/>
  <c r="C77" i="32" s="1"/>
  <c r="C295" i="32"/>
  <c r="C142" i="32"/>
  <c r="F864" i="30"/>
  <c r="F865" i="30" s="1"/>
  <c r="J191" i="1" s="1"/>
  <c r="K191" i="1" s="1"/>
  <c r="G191" i="1" s="1"/>
  <c r="H191" i="1" s="1"/>
  <c r="F237" i="30"/>
  <c r="F238" i="30"/>
  <c r="J370" i="1" s="1"/>
  <c r="K370" i="1" s="1"/>
  <c r="G370" i="1" s="1"/>
  <c r="H370" i="1" s="1"/>
  <c r="C220" i="32" s="1"/>
  <c r="F593" i="30"/>
  <c r="F594" i="30" s="1"/>
  <c r="J359" i="1" s="1"/>
  <c r="K359" i="1" s="1"/>
  <c r="G359" i="1" s="1"/>
  <c r="H359" i="1" s="1"/>
  <c r="C274" i="32" s="1"/>
  <c r="F1049" i="30"/>
  <c r="F1050" i="30"/>
  <c r="J120" i="1" s="1"/>
  <c r="K120" i="1" s="1"/>
  <c r="G120" i="1" s="1"/>
  <c r="C315" i="32"/>
  <c r="C187" i="32"/>
  <c r="F1115" i="30"/>
  <c r="F1116" i="30" s="1"/>
  <c r="J413" i="1" s="1"/>
  <c r="K413" i="1" s="1"/>
  <c r="G413" i="1" s="1"/>
  <c r="H413" i="1" s="1"/>
  <c r="F667" i="30"/>
  <c r="J270" i="1" s="1"/>
  <c r="K270" i="1" s="1"/>
  <c r="G270" i="1" s="1"/>
  <c r="H270" i="1" s="1"/>
  <c r="C269" i="32" s="1"/>
  <c r="F666" i="30"/>
  <c r="F521" i="30"/>
  <c r="F522" i="30" s="1"/>
  <c r="J356" i="1" s="1"/>
  <c r="K356" i="1" s="1"/>
  <c r="G356" i="1" s="1"/>
  <c r="H356" i="1" s="1"/>
  <c r="C303" i="32" s="1"/>
  <c r="F273" i="30"/>
  <c r="J373" i="1" s="1"/>
  <c r="K373" i="1" s="1"/>
  <c r="G373" i="1" s="1"/>
  <c r="H373" i="1" s="1"/>
  <c r="C284" i="32" s="1"/>
  <c r="F272" i="30"/>
  <c r="F988" i="30"/>
  <c r="F989" i="30" s="1"/>
  <c r="J352" i="1" s="1"/>
  <c r="K352" i="1" s="1"/>
  <c r="G352" i="1" s="1"/>
  <c r="H352" i="1" s="1"/>
  <c r="F149" i="1"/>
  <c r="H149" i="1" s="1"/>
  <c r="C31" i="32" s="1"/>
  <c r="F147" i="1"/>
  <c r="H147" i="1" s="1"/>
  <c r="F718" i="30"/>
  <c r="F719" i="30"/>
  <c r="F343" i="30"/>
  <c r="F344" i="30" s="1"/>
  <c r="J378" i="1" s="1"/>
  <c r="K378" i="1" s="1"/>
  <c r="G378" i="1" s="1"/>
  <c r="H378" i="1" s="1"/>
  <c r="C100" i="32" s="1"/>
  <c r="F100" i="30"/>
  <c r="F101" i="30" s="1"/>
  <c r="J366" i="1" s="1"/>
  <c r="K366" i="1" s="1"/>
  <c r="G366" i="1" s="1"/>
  <c r="H366" i="1" s="1"/>
  <c r="F1150" i="30"/>
  <c r="F1151" i="30"/>
  <c r="J415" i="1" s="1"/>
  <c r="K415" i="1" s="1"/>
  <c r="G415" i="1" s="1"/>
  <c r="H415" i="1" s="1"/>
  <c r="C74" i="32" s="1"/>
  <c r="D90" i="9"/>
  <c r="F123" i="1" s="1"/>
  <c r="H123" i="1" s="1"/>
  <c r="C133" i="32" s="1"/>
  <c r="C25" i="32"/>
  <c r="E34" i="31"/>
  <c r="N38" i="31"/>
  <c r="O38" i="31"/>
  <c r="M38" i="31"/>
  <c r="I41" i="7"/>
  <c r="F48" i="7"/>
  <c r="F69" i="1" s="1"/>
  <c r="H69" i="1" s="1"/>
  <c r="F49" i="7"/>
  <c r="F71" i="1" s="1"/>
  <c r="H71" i="1" s="1"/>
  <c r="C5" i="32" s="1"/>
  <c r="H76" i="9"/>
  <c r="Q37" i="8"/>
  <c r="K37" i="8"/>
  <c r="E22" i="31"/>
  <c r="C36" i="32"/>
  <c r="J26" i="31"/>
  <c r="K26" i="31"/>
  <c r="F10" i="31"/>
  <c r="D87" i="9"/>
  <c r="G98" i="9" s="1"/>
  <c r="E12" i="31"/>
  <c r="U76" i="9"/>
  <c r="O58" i="31"/>
  <c r="N58" i="31"/>
  <c r="P58" i="31"/>
  <c r="Q60" i="31"/>
  <c r="F1021" i="30"/>
  <c r="F1022" i="30" s="1"/>
  <c r="J353" i="1" s="1"/>
  <c r="K353" i="1" s="1"/>
  <c r="G353" i="1" s="1"/>
  <c r="H353" i="1" s="1"/>
  <c r="C324" i="32" s="1"/>
  <c r="K40" i="8"/>
  <c r="Q40" i="8"/>
  <c r="C188" i="32"/>
  <c r="F632" i="30"/>
  <c r="J258" i="1" s="1"/>
  <c r="K258" i="1" s="1"/>
  <c r="G258" i="1" s="1"/>
  <c r="H258" i="1" s="1"/>
  <c r="C180" i="32" s="1"/>
  <c r="F631" i="30"/>
  <c r="E28" i="31"/>
  <c r="H120" i="1"/>
  <c r="C13" i="32" s="1"/>
  <c r="F791" i="30"/>
  <c r="F792" i="30" s="1"/>
  <c r="J397" i="1" s="1"/>
  <c r="K397" i="1" s="1"/>
  <c r="G397" i="1" s="1"/>
  <c r="H397" i="1" s="1"/>
  <c r="D88" i="9"/>
  <c r="F122" i="1" s="1"/>
  <c r="H122" i="1" s="1"/>
  <c r="C93" i="32" s="1"/>
  <c r="L52" i="31"/>
  <c r="M52" i="31"/>
  <c r="E62" i="31"/>
  <c r="H430" i="1"/>
  <c r="C4" i="32" s="1"/>
  <c r="F449" i="30"/>
  <c r="F450" i="30" s="1"/>
  <c r="J354" i="1" s="1"/>
  <c r="K354" i="1" s="1"/>
  <c r="G354" i="1" s="1"/>
  <c r="H354" i="1" s="1"/>
  <c r="C276" i="32" s="1"/>
  <c r="K45" i="8"/>
  <c r="Q45" i="8"/>
  <c r="K38" i="8"/>
  <c r="Q38" i="8"/>
  <c r="D111" i="9"/>
  <c r="F137" i="1" s="1"/>
  <c r="H137" i="1" s="1"/>
  <c r="C94" i="32" s="1"/>
  <c r="K32" i="8"/>
  <c r="K76" i="8" s="1"/>
  <c r="D86" i="8" s="1"/>
  <c r="F113" i="1" s="1"/>
  <c r="H113" i="1" s="1"/>
  <c r="Q32" i="8"/>
  <c r="H76" i="8"/>
  <c r="C82" i="32"/>
  <c r="E14" i="31"/>
  <c r="M76" i="8"/>
  <c r="D87" i="8" s="1"/>
  <c r="F116" i="1" s="1"/>
  <c r="H116" i="1" s="1"/>
  <c r="C17" i="32" s="1"/>
  <c r="F411" i="30"/>
  <c r="F412" i="30" s="1"/>
  <c r="F410" i="30"/>
  <c r="F204" i="30"/>
  <c r="J371" i="1" s="1"/>
  <c r="K371" i="1" s="1"/>
  <c r="G371" i="1" s="1"/>
  <c r="H371" i="1" s="1"/>
  <c r="C145" i="32" s="1"/>
  <c r="F203" i="30"/>
  <c r="E16" i="31"/>
  <c r="F557" i="30"/>
  <c r="F558" i="30" s="1"/>
  <c r="K43" i="8"/>
  <c r="Q43" i="8"/>
  <c r="D91" i="9"/>
  <c r="M76" i="9"/>
  <c r="Q36" i="8"/>
  <c r="K36" i="8"/>
  <c r="C30" i="32"/>
  <c r="E30" i="31"/>
  <c r="F486" i="30"/>
  <c r="J355" i="1" s="1"/>
  <c r="K355" i="1" s="1"/>
  <c r="G355" i="1" s="1"/>
  <c r="H355" i="1" s="1"/>
  <c r="C235" i="32" s="1"/>
  <c r="F485" i="30"/>
  <c r="F1082" i="30"/>
  <c r="F1083" i="30" s="1"/>
  <c r="J238" i="1" s="1"/>
  <c r="K238" i="1" s="1"/>
  <c r="G238" i="1" s="1"/>
  <c r="H238" i="1" s="1"/>
  <c r="C225" i="32" s="1"/>
  <c r="F920" i="30"/>
  <c r="F921" i="30" s="1"/>
  <c r="J310" i="1" s="1"/>
  <c r="K310" i="1" s="1"/>
  <c r="G310" i="1" s="1"/>
  <c r="H310" i="1" s="1"/>
  <c r="N20" i="31"/>
  <c r="K20" i="31"/>
  <c r="E36" i="31" l="1"/>
  <c r="L36" i="31" s="1"/>
  <c r="C250" i="32"/>
  <c r="E56" i="31"/>
  <c r="C99" i="32"/>
  <c r="E46" i="31"/>
  <c r="C257" i="32"/>
  <c r="E54" i="31"/>
  <c r="C328" i="32"/>
  <c r="E42" i="31"/>
  <c r="C317" i="32"/>
  <c r="C43" i="32"/>
  <c r="C135" i="32"/>
  <c r="E50" i="31"/>
  <c r="C16" i="32"/>
  <c r="E18" i="31"/>
  <c r="M30" i="31"/>
  <c r="L30" i="31"/>
  <c r="F14" i="31"/>
  <c r="G14" i="31"/>
  <c r="L22" i="31"/>
  <c r="K22" i="31"/>
  <c r="N62" i="31"/>
  <c r="F62" i="31"/>
  <c r="L62" i="31"/>
  <c r="Q62" i="31"/>
  <c r="G62" i="31"/>
  <c r="O62" i="31"/>
  <c r="M62" i="31"/>
  <c r="I62" i="31"/>
  <c r="H62" i="31"/>
  <c r="P62" i="31"/>
  <c r="K62" i="31"/>
  <c r="J62" i="31"/>
  <c r="K28" i="31"/>
  <c r="H28" i="31"/>
  <c r="J28" i="31"/>
  <c r="F150" i="1"/>
  <c r="H150" i="1" s="1"/>
  <c r="C39" i="32" s="1"/>
  <c r="F148" i="1"/>
  <c r="H148" i="1" s="1"/>
  <c r="C52" i="32" s="1"/>
  <c r="H16" i="31"/>
  <c r="I16" i="31"/>
  <c r="G16" i="31"/>
  <c r="E44" i="31"/>
  <c r="F65" i="31"/>
  <c r="Q76" i="8"/>
  <c r="D89" i="8" s="1"/>
  <c r="F115" i="1" s="1"/>
  <c r="H115" i="1" s="1"/>
  <c r="C41" i="32" s="1"/>
  <c r="K34" i="31"/>
  <c r="J34" i="31"/>
  <c r="O34" i="31"/>
  <c r="C47" i="32"/>
  <c r="F413" i="30"/>
  <c r="F414" i="30" s="1"/>
  <c r="J361" i="1" s="1"/>
  <c r="K361" i="1" s="1"/>
  <c r="G361" i="1" s="1"/>
  <c r="H361" i="1" s="1"/>
  <c r="G12" i="31"/>
  <c r="F12" i="31"/>
  <c r="M36" i="31" l="1"/>
  <c r="N36" i="31"/>
  <c r="C332" i="32"/>
  <c r="C335" i="32" s="1"/>
  <c r="E48" i="31"/>
  <c r="O42" i="31"/>
  <c r="L42" i="31"/>
  <c r="N42" i="31"/>
  <c r="J42" i="31"/>
  <c r="M42" i="31"/>
  <c r="G65" i="31"/>
  <c r="F67" i="31"/>
  <c r="O44" i="31"/>
  <c r="N44" i="31"/>
  <c r="M44" i="31"/>
  <c r="P44" i="31"/>
  <c r="P50" i="31"/>
  <c r="O50" i="31"/>
  <c r="L46" i="31"/>
  <c r="N46" i="31"/>
  <c r="J46" i="31"/>
  <c r="M46" i="31"/>
  <c r="O46" i="31"/>
  <c r="P56" i="31"/>
  <c r="O56" i="31"/>
  <c r="Q56" i="31"/>
  <c r="Q65" i="31" s="1"/>
  <c r="N56" i="31"/>
  <c r="E32" i="31"/>
  <c r="H431" i="1"/>
  <c r="E40" i="31"/>
  <c r="H65" i="31"/>
  <c r="O54" i="31"/>
  <c r="M54" i="31"/>
  <c r="N54" i="31"/>
  <c r="K429" i="1"/>
  <c r="B883" i="30" s="1"/>
  <c r="B886" i="30" s="1"/>
  <c r="C886" i="30" s="1"/>
  <c r="J18" i="31"/>
  <c r="J65" i="31" s="1"/>
  <c r="I18" i="31"/>
  <c r="I65" i="31" s="1"/>
  <c r="K18" i="31"/>
  <c r="D128" i="32" l="1"/>
  <c r="D92" i="32"/>
  <c r="D15" i="32"/>
  <c r="D280" i="32"/>
  <c r="D37" i="32"/>
  <c r="D314" i="32"/>
  <c r="D102" i="32"/>
  <c r="D219" i="32"/>
  <c r="D258" i="32"/>
  <c r="D79" i="32"/>
  <c r="D226" i="32"/>
  <c r="D194" i="32"/>
  <c r="D153" i="32"/>
  <c r="D275" i="32"/>
  <c r="D248" i="32"/>
  <c r="D160" i="32"/>
  <c r="D158" i="32"/>
  <c r="D182" i="32"/>
  <c r="D197" i="32"/>
  <c r="D281" i="32"/>
  <c r="D312" i="32"/>
  <c r="D204" i="32"/>
  <c r="D159" i="32"/>
  <c r="D33" i="32"/>
  <c r="D271" i="32"/>
  <c r="D7" i="32"/>
  <c r="D203" i="32"/>
  <c r="D202" i="32"/>
  <c r="D322" i="32"/>
  <c r="D268" i="32"/>
  <c r="D113" i="32"/>
  <c r="D183" i="32"/>
  <c r="D313" i="32"/>
  <c r="D242" i="32"/>
  <c r="D174" i="32"/>
  <c r="D333" i="32"/>
  <c r="D190" i="32"/>
  <c r="D208" i="32"/>
  <c r="D273" i="32"/>
  <c r="D178" i="32"/>
  <c r="D98" i="32"/>
  <c r="D171" i="32"/>
  <c r="D176" i="32"/>
  <c r="D48" i="32"/>
  <c r="D189" i="32"/>
  <c r="D216" i="32"/>
  <c r="D229" i="32"/>
  <c r="D211" i="32"/>
  <c r="D246" i="32"/>
  <c r="D20" i="32"/>
  <c r="D237" i="32"/>
  <c r="D118" i="32"/>
  <c r="D193" i="32"/>
  <c r="D59" i="32"/>
  <c r="D65" i="32"/>
  <c r="D112" i="32"/>
  <c r="D301" i="32"/>
  <c r="D148" i="32"/>
  <c r="D88" i="32"/>
  <c r="D105" i="32"/>
  <c r="D137" i="32"/>
  <c r="D254" i="32"/>
  <c r="D262" i="32"/>
  <c r="D123" i="32"/>
  <c r="D166" i="32"/>
  <c r="D210" i="32"/>
  <c r="D288" i="32"/>
  <c r="D95" i="32"/>
  <c r="D24" i="32"/>
  <c r="D228" i="32"/>
  <c r="D215" i="32"/>
  <c r="D286" i="32"/>
  <c r="D62" i="32"/>
  <c r="D266" i="32"/>
  <c r="D138" i="32"/>
  <c r="D277" i="32"/>
  <c r="D55" i="32"/>
  <c r="D251" i="32"/>
  <c r="D306" i="32"/>
  <c r="D101" i="32"/>
  <c r="D8" i="32"/>
  <c r="D291" i="32"/>
  <c r="D107" i="32"/>
  <c r="D236" i="32"/>
  <c r="D185" i="32"/>
  <c r="D35" i="32"/>
  <c r="D331" i="32"/>
  <c r="D218" i="32"/>
  <c r="D89" i="32"/>
  <c r="D217" i="32"/>
  <c r="D67" i="32"/>
  <c r="D206" i="32"/>
  <c r="D136" i="32"/>
  <c r="D60" i="32"/>
  <c r="D175" i="32"/>
  <c r="D66" i="32"/>
  <c r="D51" i="32"/>
  <c r="D240" i="32"/>
  <c r="D164" i="32"/>
  <c r="D103" i="32"/>
  <c r="D23" i="32"/>
  <c r="D311" i="32"/>
  <c r="D163" i="32"/>
  <c r="D289" i="32"/>
  <c r="D69" i="32"/>
  <c r="D201" i="32"/>
  <c r="D298" i="32"/>
  <c r="D167" i="32"/>
  <c r="D318" i="32"/>
  <c r="D127" i="32"/>
  <c r="D214" i="32"/>
  <c r="D221" i="32"/>
  <c r="D32" i="32"/>
  <c r="D181" i="32"/>
  <c r="D85" i="32"/>
  <c r="D154" i="32"/>
  <c r="D161" i="32"/>
  <c r="D73" i="32"/>
  <c r="D321" i="32"/>
  <c r="D63" i="32"/>
  <c r="D76" i="32"/>
  <c r="D259" i="32"/>
  <c r="D299" i="32"/>
  <c r="D156" i="32"/>
  <c r="D121" i="32"/>
  <c r="D320" i="32"/>
  <c r="D134" i="32"/>
  <c r="D304" i="32"/>
  <c r="D70" i="32"/>
  <c r="D209" i="32"/>
  <c r="D270" i="32"/>
  <c r="D108" i="32"/>
  <c r="D90" i="32"/>
  <c r="D122" i="32"/>
  <c r="D293" i="32"/>
  <c r="D129" i="32"/>
  <c r="D234" i="32"/>
  <c r="D195" i="32"/>
  <c r="D297" i="32"/>
  <c r="D56" i="32"/>
  <c r="D261" i="32"/>
  <c r="D245" i="32"/>
  <c r="D125" i="32"/>
  <c r="D247" i="32"/>
  <c r="D296" i="32"/>
  <c r="D272" i="32"/>
  <c r="D330" i="32"/>
  <c r="D169" i="32"/>
  <c r="D64" i="32"/>
  <c r="D329" i="32"/>
  <c r="D223" i="32"/>
  <c r="D46" i="32"/>
  <c r="D238" i="32"/>
  <c r="D323" i="32"/>
  <c r="D212" i="32"/>
  <c r="D282" i="32"/>
  <c r="D307" i="32"/>
  <c r="D61" i="32"/>
  <c r="D22" i="32"/>
  <c r="D144" i="32"/>
  <c r="D57" i="32"/>
  <c r="D71" i="32"/>
  <c r="D241" i="32"/>
  <c r="D83" i="32"/>
  <c r="D198" i="32"/>
  <c r="D34" i="32"/>
  <c r="D249" i="32"/>
  <c r="D170" i="32"/>
  <c r="D29" i="32"/>
  <c r="D294" i="32"/>
  <c r="D149" i="32"/>
  <c r="D305" i="32"/>
  <c r="D279" i="32"/>
  <c r="D75" i="32"/>
  <c r="D80" i="32"/>
  <c r="D130" i="32"/>
  <c r="D256" i="32"/>
  <c r="D141" i="32"/>
  <c r="D131" i="32"/>
  <c r="D199" i="32"/>
  <c r="D326" i="32"/>
  <c r="D26" i="32"/>
  <c r="D265" i="32"/>
  <c r="D308" i="32"/>
  <c r="D255" i="32"/>
  <c r="D152" i="32"/>
  <c r="D244" i="32"/>
  <c r="D91" i="32"/>
  <c r="D139" i="32"/>
  <c r="D173" i="32"/>
  <c r="D96" i="32"/>
  <c r="D192" i="32"/>
  <c r="D140" i="32"/>
  <c r="D302" i="32"/>
  <c r="D191" i="32"/>
  <c r="D227" i="32"/>
  <c r="D162" i="32"/>
  <c r="D325" i="32"/>
  <c r="D172" i="32"/>
  <c r="D179" i="32"/>
  <c r="D243" i="32"/>
  <c r="D109" i="32"/>
  <c r="D200" i="32"/>
  <c r="D168" i="32"/>
  <c r="D233" i="32"/>
  <c r="D239" i="32"/>
  <c r="D285" i="32"/>
  <c r="D28" i="32"/>
  <c r="D106" i="32"/>
  <c r="D45" i="32"/>
  <c r="D231" i="32"/>
  <c r="D292" i="32"/>
  <c r="D253" i="32"/>
  <c r="D12" i="32"/>
  <c r="D143" i="32"/>
  <c r="D230" i="32"/>
  <c r="D150" i="32"/>
  <c r="D222" i="32"/>
  <c r="D53" i="32"/>
  <c r="D316" i="32"/>
  <c r="D207" i="32"/>
  <c r="D9" i="32"/>
  <c r="D18" i="32"/>
  <c r="D49" i="32"/>
  <c r="D224" i="32"/>
  <c r="D44" i="32"/>
  <c r="D10" i="32"/>
  <c r="D260" i="32"/>
  <c r="D40" i="32"/>
  <c r="D310" i="32"/>
  <c r="D124" i="32"/>
  <c r="D146" i="32"/>
  <c r="D14" i="32"/>
  <c r="D263" i="32"/>
  <c r="D38" i="32"/>
  <c r="D54" i="32"/>
  <c r="D42" i="32"/>
  <c r="D117" i="32"/>
  <c r="D50" i="32"/>
  <c r="D27" i="32"/>
  <c r="D132" i="32"/>
  <c r="D278" i="32"/>
  <c r="D114" i="32"/>
  <c r="D290" i="32"/>
  <c r="D327" i="32"/>
  <c r="D81" i="32"/>
  <c r="D115" i="32"/>
  <c r="D84" i="32"/>
  <c r="D6" i="32"/>
  <c r="D287" i="32"/>
  <c r="D264" i="32"/>
  <c r="D104" i="32"/>
  <c r="D126" i="32"/>
  <c r="D309" i="32"/>
  <c r="D205" i="32"/>
  <c r="D157" i="32"/>
  <c r="D267" i="32"/>
  <c r="D21" i="32"/>
  <c r="D165" i="32"/>
  <c r="D120" i="32"/>
  <c r="D196" i="32"/>
  <c r="D319" i="32"/>
  <c r="D58" i="32"/>
  <c r="D186" i="32"/>
  <c r="D110" i="32"/>
  <c r="D232" i="32"/>
  <c r="D184" i="32"/>
  <c r="D97" i="32"/>
  <c r="D72" i="32"/>
  <c r="D11" i="32"/>
  <c r="D213" i="32"/>
  <c r="D147" i="32"/>
  <c r="D111" i="32"/>
  <c r="D87" i="32"/>
  <c r="D86" i="32"/>
  <c r="D68" i="32"/>
  <c r="D177" i="32"/>
  <c r="D119" i="32"/>
  <c r="D155" i="32"/>
  <c r="D19" i="32"/>
  <c r="D116" i="32"/>
  <c r="D283" i="32"/>
  <c r="D300" i="32"/>
  <c r="D78" i="32"/>
  <c r="D252" i="32"/>
  <c r="D151" i="32"/>
  <c r="D274" i="32"/>
  <c r="D276" i="32"/>
  <c r="D13" i="32"/>
  <c r="D187" i="32"/>
  <c r="D315" i="32"/>
  <c r="D36" i="32"/>
  <c r="D93" i="32"/>
  <c r="D30" i="32"/>
  <c r="D142" i="32"/>
  <c r="D284" i="32"/>
  <c r="D324" i="32"/>
  <c r="D133" i="32"/>
  <c r="D269" i="32"/>
  <c r="D74" i="32"/>
  <c r="D235" i="32"/>
  <c r="D94" i="32"/>
  <c r="D220" i="32"/>
  <c r="D145" i="32"/>
  <c r="D31" i="32"/>
  <c r="D303" i="32"/>
  <c r="D77" i="32"/>
  <c r="D188" i="32"/>
  <c r="D295" i="32"/>
  <c r="D4" i="32"/>
  <c r="E4" i="32" s="1"/>
  <c r="F4" i="32" s="1"/>
  <c r="D225" i="32"/>
  <c r="D100" i="32"/>
  <c r="D180" i="32"/>
  <c r="D5" i="32"/>
  <c r="D82" i="32"/>
  <c r="D17" i="32"/>
  <c r="D25" i="32"/>
  <c r="D135" i="32"/>
  <c r="D250" i="32"/>
  <c r="D257" i="32"/>
  <c r="D328" i="32"/>
  <c r="D41" i="32"/>
  <c r="D99" i="32"/>
  <c r="D39" i="32"/>
  <c r="D47" i="32"/>
  <c r="D16" i="32"/>
  <c r="D43" i="32"/>
  <c r="D52" i="32"/>
  <c r="D317" i="32"/>
  <c r="K32" i="31"/>
  <c r="K65" i="31" s="1"/>
  <c r="M32" i="31"/>
  <c r="L32" i="31"/>
  <c r="L65" i="31" s="1"/>
  <c r="O40" i="31"/>
  <c r="O65" i="31" s="1"/>
  <c r="P40" i="31"/>
  <c r="P65" i="31" s="1"/>
  <c r="N40" i="31"/>
  <c r="N65" i="31" s="1"/>
  <c r="M40" i="31"/>
  <c r="M48" i="31"/>
  <c r="K48" i="31"/>
  <c r="N48" i="31"/>
  <c r="L48" i="31"/>
  <c r="D332" i="32"/>
  <c r="G67" i="31"/>
  <c r="E64" i="31"/>
  <c r="D40" i="31" s="1"/>
  <c r="G66" i="31" l="1"/>
  <c r="M65" i="31"/>
  <c r="M66" i="31" s="1"/>
  <c r="L66" i="31"/>
  <c r="O66" i="31"/>
  <c r="K66" i="31"/>
  <c r="F68" i="31"/>
  <c r="N66" i="31"/>
  <c r="Q66" i="31"/>
  <c r="D32" i="31"/>
  <c r="H67" i="31"/>
  <c r="G68" i="31"/>
  <c r="D11" i="31"/>
  <c r="D24" i="31"/>
  <c r="D26" i="31"/>
  <c r="D60" i="31"/>
  <c r="D38" i="31"/>
  <c r="D10" i="31"/>
  <c r="D20" i="31"/>
  <c r="D58" i="31"/>
  <c r="D52" i="31"/>
  <c r="D62" i="31"/>
  <c r="D22" i="31"/>
  <c r="D16" i="31"/>
  <c r="D12" i="31"/>
  <c r="D14" i="31"/>
  <c r="D34" i="31"/>
  <c r="D30" i="31"/>
  <c r="D36" i="31"/>
  <c r="D28" i="31"/>
  <c r="D42" i="31"/>
  <c r="D46" i="31"/>
  <c r="D54" i="31"/>
  <c r="D50" i="31"/>
  <c r="D56" i="31"/>
  <c r="F66" i="31"/>
  <c r="D44" i="31"/>
  <c r="D18" i="31"/>
  <c r="J66" i="31"/>
  <c r="H66" i="31"/>
  <c r="E5" i="32"/>
  <c r="F5" i="32" s="1"/>
  <c r="D48" i="31"/>
  <c r="P66" i="31"/>
  <c r="I66" i="31"/>
  <c r="E6" i="32" l="1"/>
  <c r="F6" i="32" s="1"/>
  <c r="D64" i="31"/>
  <c r="H68" i="31"/>
  <c r="I67" i="31"/>
  <c r="E7" i="32" l="1"/>
  <c r="F7" i="32" s="1"/>
  <c r="J67" i="31"/>
  <c r="I68" i="31"/>
  <c r="E8" i="32" l="1"/>
  <c r="F8" i="32" s="1"/>
  <c r="K67" i="31"/>
  <c r="J68" i="31"/>
  <c r="E9" i="32" l="1"/>
  <c r="F9" i="32" s="1"/>
  <c r="L67" i="31"/>
  <c r="K68" i="31"/>
  <c r="E10" i="32" l="1"/>
  <c r="F10" i="32" s="1"/>
  <c r="L68" i="31"/>
  <c r="M67" i="31"/>
  <c r="E11" i="32" l="1"/>
  <c r="F11" i="32" s="1"/>
  <c r="N67" i="31"/>
  <c r="M68" i="31"/>
  <c r="E12" i="32" l="1"/>
  <c r="F12" i="32" s="1"/>
  <c r="N68" i="31"/>
  <c r="O67" i="31"/>
  <c r="E13" i="32" l="1"/>
  <c r="F13" i="32" s="1"/>
  <c r="O68" i="31"/>
  <c r="P67" i="31"/>
  <c r="E14" i="32" l="1"/>
  <c r="F14" i="32" s="1"/>
  <c r="P68" i="31"/>
  <c r="Q67" i="31"/>
  <c r="Q68" i="31" s="1"/>
  <c r="E15" i="32" l="1"/>
  <c r="F15" i="32" s="1"/>
  <c r="E16" i="32" l="1"/>
  <c r="F16" i="32" s="1"/>
  <c r="E17" i="32" l="1"/>
  <c r="F17" i="32" s="1"/>
  <c r="E18" i="32" l="1"/>
  <c r="F18" i="32" s="1"/>
  <c r="E19" i="32" l="1"/>
  <c r="F19" i="32" s="1"/>
  <c r="E20" i="32" l="1"/>
  <c r="F20" i="32" s="1"/>
  <c r="E21" i="32" l="1"/>
  <c r="F21" i="32" s="1"/>
  <c r="E22" i="32" l="1"/>
  <c r="F22" i="32" s="1"/>
  <c r="E23" i="32" l="1"/>
  <c r="F23" i="32" s="1"/>
  <c r="E24" i="32" l="1"/>
  <c r="F24" i="32" s="1"/>
  <c r="E25" i="32" l="1"/>
  <c r="F25" i="32" s="1"/>
  <c r="E26" i="32" l="1"/>
  <c r="F26" i="32" s="1"/>
  <c r="E27" i="32" l="1"/>
  <c r="F27" i="32" s="1"/>
  <c r="E28" i="32" l="1"/>
  <c r="F28" i="32" s="1"/>
  <c r="E29" i="32" l="1"/>
  <c r="F29" i="32" s="1"/>
  <c r="E30" i="32" l="1"/>
  <c r="F30" i="32" s="1"/>
  <c r="E31" i="32" l="1"/>
  <c r="F31" i="32" s="1"/>
  <c r="E32" i="32" l="1"/>
  <c r="F32" i="32" s="1"/>
  <c r="E33" i="32"/>
  <c r="F33" i="32" l="1"/>
  <c r="E34" i="32"/>
  <c r="F34" i="32" l="1"/>
  <c r="E35" i="32"/>
  <c r="F35" i="32" l="1"/>
  <c r="E36" i="32"/>
  <c r="F36" i="32" l="1"/>
  <c r="E37" i="32"/>
  <c r="F37" i="32" l="1"/>
  <c r="E38" i="32"/>
  <c r="F38" i="32" l="1"/>
  <c r="E39" i="32"/>
  <c r="F39" i="32" l="1"/>
  <c r="E40" i="32"/>
  <c r="F40" i="32" l="1"/>
  <c r="E41" i="32"/>
  <c r="F41" i="32" l="1"/>
  <c r="E42" i="32"/>
  <c r="F42" i="32" l="1"/>
  <c r="E43" i="32"/>
  <c r="F43" i="32" l="1"/>
  <c r="E44" i="32"/>
  <c r="F44" i="32" l="1"/>
  <c r="E45" i="32"/>
  <c r="F45" i="32" l="1"/>
  <c r="E46" i="32"/>
  <c r="F46" i="32" l="1"/>
  <c r="E47" i="32"/>
  <c r="F47" i="32" l="1"/>
  <c r="E48" i="32"/>
  <c r="F48" i="32" l="1"/>
  <c r="E49" i="32"/>
  <c r="F49" i="32" l="1"/>
  <c r="E50" i="32"/>
  <c r="F50" i="32" l="1"/>
  <c r="E51" i="32"/>
  <c r="F51" i="32" l="1"/>
  <c r="E52" i="32"/>
  <c r="F52" i="32" l="1"/>
  <c r="E53" i="32"/>
  <c r="F53" i="32" l="1"/>
  <c r="E54" i="32"/>
  <c r="F54" i="32" l="1"/>
  <c r="E55" i="32"/>
  <c r="F55" i="32" l="1"/>
  <c r="E56" i="32"/>
  <c r="F56" i="32" l="1"/>
  <c r="E57" i="32"/>
  <c r="F57" i="32" l="1"/>
  <c r="E58" i="32"/>
  <c r="F58" i="32" l="1"/>
  <c r="E59" i="32"/>
  <c r="F59" i="32" l="1"/>
  <c r="E60" i="32"/>
  <c r="F60" i="32" l="1"/>
  <c r="E61" i="32"/>
  <c r="F61" i="32" l="1"/>
  <c r="E62" i="32"/>
  <c r="F62" i="32" l="1"/>
  <c r="E63" i="32"/>
  <c r="F63" i="32" l="1"/>
  <c r="E64" i="32"/>
  <c r="F64" i="32" l="1"/>
  <c r="E65" i="32"/>
  <c r="F65" i="32" l="1"/>
  <c r="E66" i="32"/>
  <c r="F66" i="32" l="1"/>
  <c r="E67" i="32"/>
  <c r="F67" i="32" l="1"/>
  <c r="E68" i="32"/>
  <c r="F68" i="32" l="1"/>
  <c r="E69" i="32"/>
  <c r="F69" i="32" l="1"/>
  <c r="E70" i="32"/>
  <c r="F70" i="32" l="1"/>
  <c r="E71" i="32"/>
  <c r="F71" i="32" l="1"/>
  <c r="E72" i="32"/>
  <c r="F72" i="32" l="1"/>
  <c r="E73" i="32"/>
  <c r="F73" i="32" l="1"/>
  <c r="E74" i="32"/>
  <c r="F74" i="32" l="1"/>
  <c r="E75" i="32"/>
  <c r="F75" i="32" l="1"/>
  <c r="E76" i="32"/>
  <c r="F76" i="32" l="1"/>
  <c r="E77" i="32"/>
  <c r="F77" i="32" l="1"/>
  <c r="E78" i="32"/>
  <c r="F78" i="32" l="1"/>
  <c r="E79" i="32"/>
  <c r="F79" i="32" l="1"/>
  <c r="E80" i="32"/>
  <c r="F80" i="32" l="1"/>
  <c r="E81" i="32"/>
  <c r="F81" i="32" l="1"/>
  <c r="E82" i="32"/>
  <c r="F82" i="32" l="1"/>
  <c r="E83" i="32"/>
  <c r="F83" i="32" l="1"/>
  <c r="E84" i="32"/>
  <c r="F84" i="32" l="1"/>
  <c r="E85" i="32"/>
  <c r="F85" i="32" l="1"/>
  <c r="E86" i="32"/>
  <c r="F86" i="32" l="1"/>
  <c r="E87" i="32"/>
  <c r="F87" i="32" l="1"/>
  <c r="E88" i="32"/>
  <c r="F88" i="32" l="1"/>
  <c r="E89" i="32"/>
  <c r="F89" i="32" l="1"/>
  <c r="E90" i="32"/>
  <c r="F90" i="32" l="1"/>
  <c r="E91" i="32"/>
  <c r="F91" i="32" l="1"/>
  <c r="E92" i="32"/>
  <c r="F92" i="32" l="1"/>
  <c r="E93" i="32"/>
  <c r="F93" i="32" l="1"/>
  <c r="E94" i="32"/>
  <c r="F94" i="32" l="1"/>
  <c r="E95" i="32"/>
  <c r="F95" i="32" l="1"/>
  <c r="E96" i="32"/>
  <c r="F96" i="32" l="1"/>
  <c r="E97" i="32"/>
  <c r="F97" i="32" l="1"/>
  <c r="E98" i="32"/>
  <c r="F98" i="32" l="1"/>
  <c r="E99" i="32"/>
  <c r="F99" i="32" l="1"/>
  <c r="E100" i="32"/>
  <c r="F100" i="32" l="1"/>
  <c r="E101" i="32"/>
  <c r="F101" i="32" l="1"/>
  <c r="E102" i="32"/>
  <c r="F102" i="32" l="1"/>
  <c r="E103" i="32"/>
  <c r="F103" i="32" l="1"/>
  <c r="E104" i="32"/>
  <c r="F104" i="32" l="1"/>
  <c r="E105" i="32"/>
  <c r="F105" i="32" l="1"/>
  <c r="E106" i="32"/>
  <c r="F106" i="32" l="1"/>
  <c r="E107" i="32"/>
  <c r="F107" i="32" l="1"/>
  <c r="E108" i="32"/>
  <c r="F108" i="32" l="1"/>
  <c r="E109" i="32"/>
  <c r="F109" i="32" l="1"/>
  <c r="E110" i="32"/>
  <c r="F110" i="32" l="1"/>
  <c r="E111" i="32"/>
  <c r="F111" i="32" l="1"/>
  <c r="E112" i="32"/>
  <c r="F112" i="32" l="1"/>
  <c r="E113" i="32"/>
  <c r="F113" i="32" l="1"/>
  <c r="E114" i="32"/>
  <c r="F114" i="32" l="1"/>
  <c r="E115" i="32"/>
  <c r="F115" i="32" l="1"/>
  <c r="E116" i="32"/>
  <c r="F116" i="32" l="1"/>
  <c r="E117" i="32"/>
  <c r="F117" i="32" l="1"/>
  <c r="E118" i="32"/>
  <c r="F118" i="32" l="1"/>
  <c r="E119" i="32"/>
  <c r="F119" i="32" l="1"/>
  <c r="E120" i="32"/>
  <c r="F120" i="32" l="1"/>
  <c r="E121" i="32"/>
  <c r="F121" i="32" l="1"/>
  <c r="E122" i="32"/>
  <c r="F122" i="32" l="1"/>
  <c r="E123" i="32"/>
  <c r="F123" i="32" l="1"/>
  <c r="E124" i="32"/>
  <c r="F124" i="32" l="1"/>
  <c r="E125" i="32"/>
  <c r="F125" i="32" l="1"/>
  <c r="E126" i="32"/>
  <c r="F126" i="32" l="1"/>
  <c r="E127" i="32"/>
  <c r="F127" i="32" l="1"/>
  <c r="E128" i="32"/>
  <c r="F128" i="32" l="1"/>
  <c r="E129" i="32"/>
  <c r="F129" i="32" l="1"/>
  <c r="E130" i="32"/>
  <c r="F130" i="32" l="1"/>
  <c r="E131" i="32"/>
  <c r="F131" i="32" l="1"/>
  <c r="E132" i="32"/>
  <c r="F132" i="32" l="1"/>
  <c r="E133" i="32"/>
  <c r="F133" i="32" l="1"/>
  <c r="E134" i="32"/>
  <c r="F134" i="32" l="1"/>
  <c r="E135" i="32"/>
  <c r="F135" i="32" l="1"/>
  <c r="E136" i="32"/>
  <c r="F136" i="32" l="1"/>
  <c r="E137" i="32"/>
  <c r="F137" i="32" l="1"/>
  <c r="E138" i="32"/>
  <c r="F138" i="32" l="1"/>
  <c r="E139" i="32"/>
  <c r="F139" i="32" l="1"/>
  <c r="E140" i="32"/>
  <c r="F140" i="32" l="1"/>
  <c r="E141" i="32"/>
  <c r="F141" i="32" l="1"/>
  <c r="E142" i="32"/>
  <c r="F142" i="32" l="1"/>
  <c r="E143" i="32"/>
  <c r="F143" i="32" l="1"/>
  <c r="E144" i="32"/>
  <c r="F144" i="32" l="1"/>
  <c r="E145" i="32"/>
  <c r="F145" i="32" l="1"/>
  <c r="E146" i="32"/>
  <c r="F146" i="32" l="1"/>
  <c r="E147" i="32"/>
  <c r="F147" i="32" l="1"/>
  <c r="E148" i="32"/>
  <c r="F148" i="32" l="1"/>
  <c r="E149" i="32"/>
  <c r="F149" i="32" l="1"/>
  <c r="E150" i="32"/>
  <c r="F150" i="32" l="1"/>
  <c r="E151" i="32"/>
  <c r="F151" i="32" l="1"/>
  <c r="E152" i="32"/>
  <c r="F152" i="32" l="1"/>
  <c r="E153" i="32"/>
  <c r="F153" i="32" l="1"/>
  <c r="E154" i="32"/>
  <c r="F154" i="32" l="1"/>
  <c r="E155" i="32"/>
  <c r="F155" i="32" l="1"/>
  <c r="E156" i="32"/>
  <c r="F156" i="32" l="1"/>
  <c r="E157" i="32"/>
  <c r="F157" i="32" l="1"/>
  <c r="E158" i="32"/>
  <c r="F158" i="32" l="1"/>
  <c r="E159" i="32"/>
  <c r="F159" i="32" l="1"/>
  <c r="E160" i="32"/>
  <c r="F160" i="32" l="1"/>
  <c r="E161" i="32"/>
  <c r="F161" i="32" l="1"/>
  <c r="E162" i="32"/>
  <c r="F162" i="32" l="1"/>
  <c r="E163" i="32"/>
  <c r="F163" i="32" l="1"/>
  <c r="E164" i="32"/>
  <c r="F164" i="32" l="1"/>
  <c r="E165" i="32"/>
  <c r="F165" i="32" l="1"/>
  <c r="E166" i="32"/>
  <c r="F166" i="32" l="1"/>
  <c r="E167" i="32"/>
  <c r="F167" i="32" l="1"/>
  <c r="E168" i="32"/>
  <c r="F168" i="32" l="1"/>
  <c r="E169" i="32"/>
  <c r="F169" i="32" l="1"/>
  <c r="E170" i="32"/>
  <c r="F170" i="32" l="1"/>
  <c r="E171" i="32"/>
  <c r="F171" i="32" l="1"/>
  <c r="E172" i="32"/>
  <c r="F172" i="32" l="1"/>
  <c r="E173" i="32"/>
  <c r="F173" i="32" l="1"/>
  <c r="E174" i="32"/>
  <c r="F174" i="32" l="1"/>
  <c r="E175" i="32"/>
  <c r="F175" i="32" l="1"/>
  <c r="E176" i="32"/>
  <c r="F176" i="32" l="1"/>
  <c r="E177" i="32"/>
  <c r="F177" i="32" l="1"/>
  <c r="E178" i="32"/>
  <c r="F178" i="32" l="1"/>
  <c r="E179" i="32"/>
  <c r="F179" i="32" l="1"/>
  <c r="E180" i="32"/>
  <c r="F180" i="32" l="1"/>
  <c r="E181" i="32"/>
  <c r="F181" i="32" l="1"/>
  <c r="E182" i="32"/>
  <c r="F182" i="32" l="1"/>
  <c r="E183" i="32"/>
  <c r="F183" i="32" l="1"/>
  <c r="E184" i="32"/>
  <c r="F184" i="32" l="1"/>
  <c r="E185" i="32"/>
  <c r="F185" i="32" l="1"/>
  <c r="E186" i="32"/>
  <c r="F186" i="32" l="1"/>
  <c r="E187" i="32"/>
  <c r="F187" i="32" l="1"/>
  <c r="E188" i="32"/>
  <c r="F188" i="32" l="1"/>
  <c r="E189" i="32"/>
  <c r="F189" i="32" l="1"/>
  <c r="E190" i="32"/>
  <c r="F190" i="32" l="1"/>
  <c r="E191" i="32"/>
  <c r="F191" i="32" l="1"/>
  <c r="E192" i="32"/>
  <c r="F192" i="32" l="1"/>
  <c r="E193" i="32"/>
  <c r="F193" i="32" l="1"/>
  <c r="E194" i="32"/>
  <c r="F194" i="32" l="1"/>
  <c r="E195" i="32"/>
  <c r="F195" i="32" l="1"/>
  <c r="E196" i="32"/>
  <c r="F196" i="32" l="1"/>
  <c r="E197" i="32"/>
  <c r="F197" i="32" l="1"/>
  <c r="E198" i="32"/>
  <c r="F198" i="32" l="1"/>
  <c r="E199" i="32"/>
  <c r="F199" i="32" l="1"/>
  <c r="E200" i="32"/>
  <c r="F200" i="32" l="1"/>
  <c r="E201" i="32"/>
  <c r="F201" i="32" l="1"/>
  <c r="E202" i="32"/>
  <c r="F202" i="32" l="1"/>
  <c r="E203" i="32"/>
  <c r="F203" i="32" l="1"/>
  <c r="E204" i="32"/>
  <c r="F204" i="32" l="1"/>
  <c r="E205" i="32"/>
  <c r="F205" i="32" l="1"/>
  <c r="E206" i="32"/>
  <c r="F206" i="32" l="1"/>
  <c r="E207" i="32"/>
  <c r="F207" i="32" l="1"/>
  <c r="E208" i="32"/>
  <c r="F208" i="32" l="1"/>
  <c r="E209" i="32"/>
  <c r="F209" i="32" l="1"/>
  <c r="E210" i="32"/>
  <c r="F210" i="32" l="1"/>
  <c r="E211" i="32"/>
  <c r="F211" i="32" l="1"/>
  <c r="E212" i="32"/>
  <c r="F212" i="32" l="1"/>
  <c r="E213" i="32"/>
  <c r="F213" i="32" l="1"/>
  <c r="E214" i="32"/>
  <c r="F214" i="32" l="1"/>
  <c r="E215" i="32"/>
  <c r="F215" i="32" l="1"/>
  <c r="E216" i="32"/>
  <c r="F216" i="32" l="1"/>
  <c r="E217" i="32"/>
  <c r="F217" i="32" l="1"/>
  <c r="E218" i="32"/>
  <c r="F218" i="32" l="1"/>
  <c r="E219" i="32"/>
  <c r="F219" i="32" l="1"/>
  <c r="E220" i="32"/>
  <c r="F220" i="32" l="1"/>
  <c r="E221" i="32"/>
  <c r="F221" i="32" l="1"/>
  <c r="E222" i="32"/>
  <c r="F222" i="32" l="1"/>
  <c r="E223" i="32"/>
  <c r="F223" i="32" l="1"/>
  <c r="E224" i="32"/>
  <c r="F224" i="32" l="1"/>
  <c r="E225" i="32"/>
  <c r="F225" i="32" l="1"/>
  <c r="E226" i="32"/>
  <c r="F226" i="32" l="1"/>
  <c r="E227" i="32"/>
  <c r="F227" i="32" l="1"/>
  <c r="E228" i="32"/>
  <c r="F228" i="32" l="1"/>
  <c r="E229" i="32"/>
  <c r="F229" i="32" l="1"/>
  <c r="E230" i="32"/>
  <c r="F230" i="32" l="1"/>
  <c r="E231" i="32"/>
  <c r="F231" i="32" l="1"/>
  <c r="E232" i="32"/>
  <c r="F232" i="32" l="1"/>
  <c r="E233" i="32"/>
  <c r="F233" i="32" l="1"/>
  <c r="E234" i="32"/>
  <c r="F234" i="32" l="1"/>
  <c r="E235" i="32"/>
  <c r="F235" i="32" l="1"/>
  <c r="E236" i="32"/>
  <c r="F236" i="32" l="1"/>
  <c r="E237" i="32"/>
  <c r="F237" i="32" l="1"/>
  <c r="E238" i="32"/>
  <c r="F238" i="32" l="1"/>
  <c r="E239" i="32"/>
  <c r="F239" i="32" l="1"/>
  <c r="E240" i="32"/>
  <c r="F240" i="32" l="1"/>
  <c r="E241" i="32"/>
  <c r="F241" i="32" l="1"/>
  <c r="E242" i="32"/>
  <c r="F242" i="32" l="1"/>
  <c r="E243" i="32"/>
  <c r="F243" i="32" l="1"/>
  <c r="E244" i="32"/>
  <c r="F244" i="32" l="1"/>
  <c r="E245" i="32"/>
  <c r="F245" i="32" l="1"/>
  <c r="E246" i="32"/>
  <c r="F246" i="32" l="1"/>
  <c r="E247" i="32"/>
  <c r="F247" i="32" l="1"/>
  <c r="E248" i="32"/>
  <c r="F248" i="32" l="1"/>
  <c r="E249" i="32"/>
  <c r="F249" i="32" l="1"/>
  <c r="E250" i="32"/>
  <c r="F250" i="32" l="1"/>
  <c r="E251" i="32"/>
  <c r="F251" i="32" l="1"/>
  <c r="E252" i="32"/>
  <c r="F252" i="32" l="1"/>
  <c r="E253" i="32"/>
  <c r="F253" i="32" l="1"/>
  <c r="E254" i="32"/>
  <c r="F254" i="32" l="1"/>
  <c r="E255" i="32"/>
  <c r="F255" i="32" l="1"/>
  <c r="E256" i="32"/>
  <c r="F256" i="32" l="1"/>
  <c r="E257" i="32"/>
  <c r="F257" i="32" l="1"/>
  <c r="E258" i="32"/>
  <c r="F258" i="32" l="1"/>
  <c r="E259" i="32"/>
  <c r="F259" i="32" l="1"/>
  <c r="E260" i="32"/>
  <c r="F260" i="32" l="1"/>
  <c r="E261" i="32"/>
  <c r="F261" i="32" l="1"/>
  <c r="E262" i="32"/>
  <c r="F262" i="32" l="1"/>
  <c r="E263" i="32"/>
  <c r="F263" i="32" l="1"/>
  <c r="E264" i="32"/>
  <c r="F264" i="32" l="1"/>
  <c r="E265" i="32"/>
  <c r="F265" i="32" l="1"/>
  <c r="E266" i="32"/>
  <c r="F266" i="32" l="1"/>
  <c r="E267" i="32"/>
  <c r="F267" i="32" l="1"/>
  <c r="E268" i="32"/>
  <c r="F268" i="32" l="1"/>
  <c r="E269" i="32"/>
  <c r="F269" i="32" l="1"/>
  <c r="E270" i="32"/>
  <c r="F270" i="32" l="1"/>
  <c r="E271" i="32"/>
  <c r="F271" i="32" l="1"/>
  <c r="E272" i="32"/>
  <c r="F272" i="32" l="1"/>
  <c r="E273" i="32"/>
  <c r="F273" i="32" l="1"/>
  <c r="E274" i="32"/>
  <c r="F274" i="32" l="1"/>
  <c r="E275" i="32"/>
  <c r="F275" i="32" l="1"/>
  <c r="E276" i="32"/>
  <c r="F276" i="32" l="1"/>
  <c r="E277" i="32"/>
  <c r="F277" i="32" l="1"/>
  <c r="E278" i="32"/>
  <c r="F278" i="32" l="1"/>
  <c r="E279" i="32"/>
  <c r="F279" i="32" l="1"/>
  <c r="E280" i="32"/>
  <c r="F280" i="32" l="1"/>
  <c r="E281" i="32"/>
  <c r="F281" i="32" l="1"/>
  <c r="E282" i="32"/>
  <c r="F282" i="32" l="1"/>
  <c r="E283" i="32"/>
  <c r="F283" i="32" l="1"/>
  <c r="E284" i="32"/>
  <c r="F284" i="32" l="1"/>
  <c r="E285" i="32"/>
  <c r="F285" i="32" l="1"/>
  <c r="E286" i="32"/>
  <c r="F286" i="32" l="1"/>
  <c r="E287" i="32"/>
  <c r="F287" i="32" l="1"/>
  <c r="E288" i="32"/>
  <c r="F288" i="32" l="1"/>
  <c r="E289" i="32"/>
  <c r="F289" i="32" l="1"/>
  <c r="E290" i="32"/>
  <c r="F290" i="32" l="1"/>
  <c r="E291" i="32"/>
  <c r="F291" i="32" l="1"/>
  <c r="E292" i="32"/>
  <c r="F292" i="32" l="1"/>
  <c r="E293" i="32"/>
  <c r="F293" i="32" l="1"/>
  <c r="E294" i="32"/>
  <c r="F294" i="32" l="1"/>
  <c r="E295" i="32"/>
  <c r="F295" i="32" l="1"/>
  <c r="E296" i="32"/>
  <c r="F296" i="32" l="1"/>
  <c r="E297" i="32"/>
  <c r="F297" i="32" l="1"/>
  <c r="E298" i="32"/>
  <c r="F298" i="32" l="1"/>
  <c r="E299" i="32"/>
  <c r="F299" i="32" l="1"/>
  <c r="E300" i="32"/>
  <c r="F300" i="32" l="1"/>
  <c r="E301" i="32"/>
  <c r="F301" i="32" l="1"/>
  <c r="E302" i="32"/>
  <c r="F302" i="32" l="1"/>
  <c r="E303" i="32"/>
  <c r="F303" i="32" l="1"/>
  <c r="E304" i="32"/>
  <c r="F304" i="32" l="1"/>
  <c r="E305" i="32"/>
  <c r="F305" i="32" l="1"/>
  <c r="E306" i="32"/>
  <c r="F306" i="32" l="1"/>
  <c r="E307" i="32"/>
  <c r="F307" i="32" l="1"/>
  <c r="E308" i="32"/>
  <c r="F308" i="32" l="1"/>
  <c r="E309" i="32"/>
  <c r="F309" i="32" l="1"/>
  <c r="E310" i="32"/>
  <c r="F310" i="32" l="1"/>
  <c r="E311" i="32"/>
  <c r="F311" i="32" l="1"/>
  <c r="E312" i="32"/>
  <c r="F312" i="32" l="1"/>
  <c r="E313" i="32"/>
  <c r="F313" i="32" l="1"/>
  <c r="E314" i="32"/>
  <c r="F314" i="32" l="1"/>
  <c r="E315" i="32"/>
  <c r="F315" i="32" l="1"/>
  <c r="E316" i="32"/>
  <c r="F316" i="32" l="1"/>
  <c r="E317" i="32"/>
  <c r="F317" i="32" l="1"/>
  <c r="E318" i="32"/>
  <c r="F318" i="32" l="1"/>
  <c r="E319" i="32"/>
  <c r="F319" i="32" l="1"/>
  <c r="E320" i="32"/>
  <c r="F320" i="32" l="1"/>
  <c r="E321" i="32"/>
  <c r="F321" i="32" l="1"/>
  <c r="E322" i="32"/>
  <c r="F322" i="32" l="1"/>
  <c r="E323" i="32"/>
  <c r="F323" i="32" l="1"/>
  <c r="E324" i="32"/>
  <c r="F324" i="32" l="1"/>
  <c r="E325" i="32"/>
  <c r="F325" i="32" l="1"/>
  <c r="E326" i="32"/>
  <c r="F326" i="32" l="1"/>
  <c r="E327" i="32"/>
  <c r="F327" i="32" l="1"/>
  <c r="E328" i="32"/>
  <c r="F328" i="32" l="1"/>
  <c r="E329" i="32"/>
  <c r="F329" i="32" l="1"/>
  <c r="E330" i="32"/>
  <c r="F330" i="32" l="1"/>
  <c r="E331" i="32"/>
  <c r="F331" i="32" l="1"/>
  <c r="E332" i="32"/>
  <c r="F332" i="32" l="1"/>
  <c r="E333" i="32"/>
  <c r="F333" i="32" s="1"/>
</calcChain>
</file>

<file path=xl/comments1.xml><?xml version="1.0" encoding="utf-8"?>
<comments xmlns="http://schemas.openxmlformats.org/spreadsheetml/2006/main">
  <authors>
    <author/>
  </authors>
  <commentList>
    <comment ref="P31" authorId="0" shapeId="0">
      <text>
        <r>
          <rPr>
            <b/>
            <sz val="9"/>
            <color rgb="FF000000"/>
            <rFont val="Tahoma"/>
            <charset val="134"/>
          </rPr>
          <t xml:space="preserve">Pedreirão: Os Blocos de Alvenaria Estrutural permitem a aderência do emboço, como o Chapisco
</t>
        </r>
      </text>
    </comment>
    <comment ref="L33" authorId="0" shapeId="0">
      <text>
        <r>
          <rPr>
            <b/>
            <sz val="9"/>
            <color rgb="FF000000"/>
            <rFont val="Tahoma"/>
            <charset val="134"/>
          </rPr>
          <t xml:space="preserve">Pedreirão: Os Blocos de Alvenaria Estrutural permitem a aderência do reboco, como o Chapisco
</t>
        </r>
      </text>
    </comment>
    <comment ref="I36" authorId="0" shapeId="0">
      <text>
        <r>
          <rPr>
            <b/>
            <sz val="9"/>
            <color rgb="FF000000"/>
            <rFont val="Tahoma"/>
            <charset val="134"/>
          </rPr>
          <t xml:space="preserve">Pedreirão: Teto impermeabilizado
</t>
        </r>
      </text>
    </comment>
    <comment ref="C73" authorId="0" shapeId="0">
      <text>
        <r>
          <rPr>
            <b/>
            <sz val="9"/>
            <color rgb="FF000000"/>
            <rFont val="Segoe UI"/>
            <charset val="134"/>
          </rPr>
          <t>Pedreirão: acima da casa de máquinas</t>
        </r>
      </text>
    </comment>
  </commentList>
</comments>
</file>

<file path=xl/comments2.xml><?xml version="1.0" encoding="utf-8"?>
<comments xmlns="http://schemas.openxmlformats.org/spreadsheetml/2006/main">
  <authors>
    <author/>
  </authors>
  <commentList>
    <comment ref="C39" authorId="0" shapeId="0">
      <text>
        <r>
          <rPr>
            <b/>
            <sz val="9"/>
            <color rgb="FF000000"/>
            <rFont val="Segoe UI"/>
            <charset val="134"/>
          </rPr>
          <t>Pedreirão: acima da casa de máquinas</t>
        </r>
      </text>
    </comment>
  </commentList>
</comments>
</file>

<file path=xl/comments3.xml><?xml version="1.0" encoding="utf-8"?>
<comments xmlns="http://schemas.openxmlformats.org/spreadsheetml/2006/main">
  <authors>
    <author/>
  </authors>
  <commentList>
    <comment ref="C73" authorId="0" shapeId="0">
      <text>
        <r>
          <rPr>
            <b/>
            <sz val="9"/>
            <color rgb="FF000000"/>
            <rFont val="Segoe UI"/>
            <charset val="134"/>
          </rPr>
          <t>Pedreirão: acima da casa de máquinas</t>
        </r>
      </text>
    </comment>
  </commentList>
</comments>
</file>

<file path=xl/comments4.xml><?xml version="1.0" encoding="utf-8"?>
<comments xmlns="http://schemas.openxmlformats.org/spreadsheetml/2006/main">
  <authors>
    <author/>
  </authors>
  <commentList>
    <comment ref="F59" authorId="0" shapeId="0">
      <text>
        <r>
          <rPr>
            <b/>
            <sz val="9"/>
            <color rgb="FF000000"/>
            <rFont val="Tahoma"/>
            <charset val="134"/>
          </rPr>
          <t xml:space="preserve">Pedreirão: Vão de acesso para cobertura
</t>
        </r>
      </text>
    </comment>
  </commentList>
</comments>
</file>

<file path=xl/comments5.xml><?xml version="1.0" encoding="utf-8"?>
<comments xmlns="http://schemas.openxmlformats.org/spreadsheetml/2006/main">
  <authors>
    <author/>
  </authors>
  <commentList>
    <comment ref="G26" authorId="0" shapeId="0">
      <text>
        <r>
          <rPr>
            <b/>
            <sz val="9"/>
            <color rgb="FF000000"/>
            <rFont val="Tahoma"/>
            <charset val="134"/>
          </rPr>
          <t xml:space="preserve">Pedreirão: Altura da impermeabilização nas paredes
</t>
        </r>
      </text>
    </comment>
  </commentList>
</comments>
</file>

<file path=xl/sharedStrings.xml><?xml version="1.0" encoding="utf-8"?>
<sst xmlns="http://schemas.openxmlformats.org/spreadsheetml/2006/main" count="7009" uniqueCount="1992">
  <si>
    <t>PREFEITURA MUNICIPAL DE GUARAPARI</t>
  </si>
  <si>
    <t>SEMOP - SECRETARIA MUNICIPAL DE OBRAS PÚBLICAS</t>
  </si>
  <si>
    <t xml:space="preserve">OBRA: </t>
  </si>
  <si>
    <t>CONSTRUÇÃO DO CEMEI FÁTIMA CIDADE JARDIM</t>
  </si>
  <si>
    <t xml:space="preserve">ÁREA: </t>
  </si>
  <si>
    <t>1.104,98 m²</t>
  </si>
  <si>
    <t xml:space="preserve">LOCAL: </t>
  </si>
  <si>
    <t>RUA 20 - BAIRRO FÁTIMA CIDADE JARDIM - GUARAPARI - ES</t>
  </si>
  <si>
    <t>DATA:</t>
  </si>
  <si>
    <t xml:space="preserve">TABELAS DE REF.: </t>
  </si>
  <si>
    <t>SINAPI 01/2021, IOPES 01/2021, ORSE 01/2021, SEDOP 03/2021 E SUDECAP 01/2021</t>
  </si>
  <si>
    <t>BDI:</t>
  </si>
  <si>
    <t>PLANILHA ORÇAMENTÁRIA</t>
  </si>
  <si>
    <t>ITEM</t>
  </si>
  <si>
    <t>CÓDIGO/FONTE</t>
  </si>
  <si>
    <t>DESCRIÇÃO DOS SERVIÇOS</t>
  </si>
  <si>
    <t>UND.</t>
  </si>
  <si>
    <t>QUANT.</t>
  </si>
  <si>
    <t>VALOR UNT. (R$)</t>
  </si>
  <si>
    <t>VALOR TOTAL (R$)</t>
  </si>
  <si>
    <t xml:space="preserve"> </t>
  </si>
  <si>
    <t>DEMOLIÇÕES, RETIRADAS E LOCAÇÃO</t>
  </si>
  <si>
    <t>$ unitário</t>
  </si>
  <si>
    <t>$ unitário c/ BDI</t>
  </si>
  <si>
    <t>1.1</t>
  </si>
  <si>
    <t>10402 IOPES</t>
  </si>
  <si>
    <t>Raspagem e limpeza do terreno (manual)</t>
  </si>
  <si>
    <t>M2</t>
  </si>
  <si>
    <t>1.2</t>
  </si>
  <si>
    <t>10501 IOPES</t>
  </si>
  <si>
    <t>Locação de obra com gabarito de madeira</t>
  </si>
  <si>
    <t>SERVIÇOS PRELIMINARES</t>
  </si>
  <si>
    <t>2.1</t>
  </si>
  <si>
    <t>20305 IOPES</t>
  </si>
  <si>
    <t>Placa de obra nas dimensões de 2.0 x 4.0 m, padrão IOPES</t>
  </si>
  <si>
    <t>2.2</t>
  </si>
  <si>
    <t>20350 IOPES</t>
  </si>
  <si>
    <t>Tapume Telha Metálica Ondulada 0,50mm Branca h=2,20m, incl. montagem estr. mad. 8"x8", c/adesivo "IOPES" 60x60cm a cada 10m, incl. faixas pint. esmalte sint. cores azul c/ h=30cm e rosa c/ h=10cm (Reaproveitamento 2x)</t>
  </si>
  <si>
    <t>M</t>
  </si>
  <si>
    <t>2.3</t>
  </si>
  <si>
    <t>20712 IOPES</t>
  </si>
  <si>
    <t>Rede de água com padrão de entrada d'água diâm. 3/4", conf. espec. CESAN, incl. tubos e conexões para alimentação, distribuição, extravasor e limpeza, cons. o padrão a 25m, conf. projeto (1 utilização)</t>
  </si>
  <si>
    <t>2.4</t>
  </si>
  <si>
    <t>20713 IOPES</t>
  </si>
  <si>
    <t>Rede de luz, incl. padrão entrada de energia trifás., cabo de ligação até barracões, quadro de distrib., disj. e chave de força (quando necessário), cons. 20m entre padrão entrada e QDG, conf. projeto (1 utilização)</t>
  </si>
  <si>
    <t>2.5</t>
  </si>
  <si>
    <t>20714 IOPES</t>
  </si>
  <si>
    <t>Rede de esgoto, contendo fossa e filtro, inclusive tubos e conexões de ligação entre caixas, considerando distância de 25m, conforme projeto (1 utilização)</t>
  </si>
  <si>
    <t>2.6</t>
  </si>
  <si>
    <t>20339 IOPES</t>
  </si>
  <si>
    <t>Locação de andaime metálico para trabalho em fachada de edifíco (aluguel de 1 m² por 1 mês) inclusive frete, montagem e desmontagem</t>
  </si>
  <si>
    <t>2.7</t>
  </si>
  <si>
    <t>020702 IOPES</t>
  </si>
  <si>
    <t>Barracão para almoxarifado área de 10.90m2, de chapa de compensado de 12mm e pontalete 8x8cm, piso cimentado e cobertura de telhas de fibrocimento de 6mm, incl. ponto de luz, conf. projeto (1 utilização)</t>
  </si>
  <si>
    <t>2.8</t>
  </si>
  <si>
    <t>020704 IOPES</t>
  </si>
  <si>
    <t>Refeitório com paredes de chapa de compens. 12mm e pontaletes 8x8cm, piso ciment. e cob. de telhas fibroc. 6mm, incl. ponto de luz e cx. de inspeção (cons. 1.21 m2/func./turno), conf. projeto (1 utilização)</t>
  </si>
  <si>
    <t>2.9</t>
  </si>
  <si>
    <t>020705 IOPES</t>
  </si>
  <si>
    <t>Unidade de sanitário e vestiário p/ até 20 func. área de 18.15m2, paredes de chapa compens. 12mm e pontalete 8x8cm, piso cimentado, cobert. telha fibroc. 6mm, incl. instalação de luz e cx. de inspeção, conf. projeto (1 utilização)</t>
  </si>
  <si>
    <t>UND</t>
  </si>
  <si>
    <t>2.10</t>
  </si>
  <si>
    <t>020710 IOPES</t>
  </si>
  <si>
    <t>Reservatório de poliestileno de 500L, incl. suporte em madeira de 7x12cm e 5x7cm, elevado de 4m, conf. projeto (1 utilização)</t>
  </si>
  <si>
    <t xml:space="preserve">MOVIMENTO DE TERRA </t>
  </si>
  <si>
    <t>3.1</t>
  </si>
  <si>
    <t>ESCAVAÇÕES</t>
  </si>
  <si>
    <t>3.1.1</t>
  </si>
  <si>
    <t>30101 IOPES</t>
  </si>
  <si>
    <t>Escavação manual em material de 1a. categoria, até 1.50 m de profundidade</t>
  </si>
  <si>
    <t>M3</t>
  </si>
  <si>
    <t>3.1.2</t>
  </si>
  <si>
    <t>41022 DER</t>
  </si>
  <si>
    <t>Perfuração rotativa vertical, em solo, com coroa de Widia ou similar, diâmetro N(75mm), inclusive deslocamento e posicionamento em cada furo (conforme projeto)</t>
  </si>
  <si>
    <t>3.1.3</t>
  </si>
  <si>
    <t>30119 IOPES</t>
  </si>
  <si>
    <t>Apiloamento do fundo de vala com maço de 30 a 60kg</t>
  </si>
  <si>
    <t>3.2</t>
  </si>
  <si>
    <t>REATERRO E COMPACTAÇÃO</t>
  </si>
  <si>
    <t>3.2.1</t>
  </si>
  <si>
    <t>30201 IOPES</t>
  </si>
  <si>
    <t>Reaterro apiloado de cavas de fundação, em camadas de 20 cm</t>
  </si>
  <si>
    <t>3.2.2</t>
  </si>
  <si>
    <t>30210 IOPES</t>
  </si>
  <si>
    <t>Aterro compactado utilizando compactador de placa vibratória com reaproveitamento do material</t>
  </si>
  <si>
    <t>3.3</t>
  </si>
  <si>
    <t>TRANSPORTES</t>
  </si>
  <si>
    <t>3.3.1</t>
  </si>
  <si>
    <t>30304 IOPES</t>
  </si>
  <si>
    <t>Índice de preço para remoção de entulho decorrente da execução de obras (Classe A CONAMA - NBR 10.004 - Classe II-B), incluindo aluguel da caçamba, carga, transporte e descarga em área licenciada</t>
  </si>
  <si>
    <t>ESTRUTURAS</t>
  </si>
  <si>
    <t>4.1</t>
  </si>
  <si>
    <t>INFRA-ESTRUTURA (FUNDAÇÃO)</t>
  </si>
  <si>
    <t>4.1.1</t>
  </si>
  <si>
    <t>40206 IOPES</t>
  </si>
  <si>
    <t>Fôrma de tábua de madeira de 2.5 x 30.0 cm para fundações, levando-se em conta a utilização 5 vezes (incluido o material, corte, montagem, escoramento e desforma)</t>
  </si>
  <si>
    <t>4.1.2</t>
  </si>
  <si>
    <t>40243 IOPES</t>
  </si>
  <si>
    <t>Fornecimento, dobragem e colocação em fôrma, de armadura CA-50 A média, diâmetro de 6.3 a 10.0 mm</t>
  </si>
  <si>
    <t>KG</t>
  </si>
  <si>
    <t>4.1.3</t>
  </si>
  <si>
    <t>40246 IOPES</t>
  </si>
  <si>
    <t>Fornecimento, dobragem e colocação em fôrma, de armadura CA-60 B fina, diâmetro de 4.0 a 7.0mm</t>
  </si>
  <si>
    <t>4.1.4</t>
  </si>
  <si>
    <t>40240 IOPES</t>
  </si>
  <si>
    <t>Fornecimento e aplicação de concreto USINADO Fck=25 MPa - considerando lançamento MANUAL para INFRA-ESTRUTURA (5% de perdas já incluído no custo)</t>
  </si>
  <si>
    <t>4.1.5</t>
  </si>
  <si>
    <t>40231 IOPES</t>
  </si>
  <si>
    <t>Fornecimento, preparo e aplicação de concreto magro com consumo mínimo de cimento de 250 kg/m3 (brita 1 e 2) - (5% de perdas já incluído no custo)</t>
  </si>
  <si>
    <t>4.2</t>
  </si>
  <si>
    <t>SUPER - ESTRUTURA</t>
  </si>
  <si>
    <t>4.2.1</t>
  </si>
  <si>
    <t>CONCRETO ARMADO - PILARES, VIGAS, LAJES</t>
  </si>
  <si>
    <t>4.2.2</t>
  </si>
  <si>
    <t>40337 IOPES</t>
  </si>
  <si>
    <t>Fôrma em chapa de madeira compensada plastificada 12mm para estrutura em geral, 5 reaproveitamentos, reforçada com sarrafos de madeira 2.5x10cm (incl material, corte, montagem, escoras em eucalipto e desforma)</t>
  </si>
  <si>
    <t>4.2.3</t>
  </si>
  <si>
    <t>40328 IOPES</t>
  </si>
  <si>
    <t>4.2.4</t>
  </si>
  <si>
    <t>40332 IOPES</t>
  </si>
  <si>
    <t>Fornecimento, dobragem e colocação em fôrma, de armadura CA-50 A grossa, diâmetro de 12.5 a 25.0mm</t>
  </si>
  <si>
    <t>4.2.5</t>
  </si>
  <si>
    <t>40333 IOPES</t>
  </si>
  <si>
    <t>4.2.6</t>
  </si>
  <si>
    <t>40331 IOPES</t>
  </si>
  <si>
    <t>Fornecimento e aplicação de concreto USINADO Fck=30 MPa - considerando BOMBEAMENTO (5% de perdas já incluído no custo) (6% de taxa p/ concr. bombeavel)</t>
  </si>
  <si>
    <t>4.2.7</t>
  </si>
  <si>
    <t>40330 IOPES</t>
  </si>
  <si>
    <t>Fornecimento e aplicação de concreto USINADO Fck=25 MPa - considerando BOMBEAMENTO (5% de perdas já incluído no custo) (6% de taxa p/concr.bombeavel) (p/ muro)</t>
  </si>
  <si>
    <t>4.2.8</t>
  </si>
  <si>
    <t>92490 SINAPI</t>
  </si>
  <si>
    <t>Montagem e desmontagem de fôrma de laje nervurada com cubeta e assoalho com área média maior que 20 m², pé-direito simples, em chapa de madeira compensada resinada, 8 utilizações. Af_12/2015</t>
  </si>
  <si>
    <t>4.2.9</t>
  </si>
  <si>
    <t>40705 IOPES</t>
  </si>
  <si>
    <t>Execução de junta de dilatação 2 x 2 cm considerando 1cm de aplicação de isopor e 1cm de aplicação de mastique elástico do tipo sikaflex 1a ou equivalente</t>
  </si>
  <si>
    <t>PAREDES E PAINÉIS</t>
  </si>
  <si>
    <t>5.1</t>
  </si>
  <si>
    <t>CONCRETO ARMADO - VERGAS E CONTRAVERGAS</t>
  </si>
  <si>
    <t>5.1.1</t>
  </si>
  <si>
    <t>50301 IOPES</t>
  </si>
  <si>
    <t>Verga/contraverga reta de concreto armado 10 x 5 cm, Fck = 15 MPa, inclusive forma, armação e desforma</t>
  </si>
  <si>
    <t>5.2</t>
  </si>
  <si>
    <t>ELEMENTO VAZADO</t>
  </si>
  <si>
    <t>5.2.1</t>
  </si>
  <si>
    <t>50112 IOPES</t>
  </si>
  <si>
    <t>Cobogó de concreto 40 x 40 x 10 cm, tipo reto, assentados com argamassa de cimento e areia no traço 1:3, espessura das juntas 15 mm</t>
  </si>
  <si>
    <t>5.3</t>
  </si>
  <si>
    <t>PLACAS E PAINÉIS DIVISÓRIOS</t>
  </si>
  <si>
    <t>5.3.1</t>
  </si>
  <si>
    <t>12444 ORSE</t>
  </si>
  <si>
    <t>Divisória em granito branco siena, polido do dois lados, e= 2cm, inclusive montagem com ferragens (ou equiv.)</t>
  </si>
  <si>
    <t>5.4</t>
  </si>
  <si>
    <t>ALVENARIA DE VEDAÇÃO INTERNA</t>
  </si>
  <si>
    <t>5.4.1</t>
  </si>
  <si>
    <t>50606 IOPES</t>
  </si>
  <si>
    <t>Alvenaria de blocos cerâmicos 10 furos 10x20x20cm, assentados c/argamassa de cimento, cal hidratada CH1 e areia traço 1:0,5:8, esp. das juntas 12mm e esp. das paredes s/revestimento, 10cm (bloco comprado na fábrica, posto obra)</t>
  </si>
  <si>
    <t>5.5</t>
  </si>
  <si>
    <t>ALVENARIA DE VEDAÇÃO EXTERNA, EMPENAS E PLATIBANDAS</t>
  </si>
  <si>
    <t>5.5.1</t>
  </si>
  <si>
    <t>50602 IOPES</t>
  </si>
  <si>
    <t>Alvenaria de blocos de concreto 14x19x39cm, c/ resist. mínimo a compres. 2.5 MPa, assent. c/ arg. de cimento, cal hidratada CH1 e areia no traço 1:0.5:8 esp. das juntas 10mm e esp. das paredes, s/ rev. 14cm</t>
  </si>
  <si>
    <t>ESQUADRIAS DE MADEIRA</t>
  </si>
  <si>
    <t>6.1</t>
  </si>
  <si>
    <t>PORTAS DE MADEIRA</t>
  </si>
  <si>
    <t>6.2</t>
  </si>
  <si>
    <t>60102 IOPES</t>
  </si>
  <si>
    <t>Marco de madeira de lei de 1ª (Peroba, Ipê, Angelim Pedra ou equivalente) com 15x3 cm de batente, nas dimensões de 0.70 x 2.10 m (P2)</t>
  </si>
  <si>
    <t>6.3</t>
  </si>
  <si>
    <t>60103 IOPES</t>
  </si>
  <si>
    <t>Marco de madeira de lei de 1ª (Peroba, Ipê, Angelim Pedra ou equivalente) com 15x3 cm de batente, nas dimensões de 0.80 x 2.10 m (P3, P4 e P5)</t>
  </si>
  <si>
    <t>6.4</t>
  </si>
  <si>
    <t>61302 IOPES</t>
  </si>
  <si>
    <t>Porta em madeira de lei tipo angelim pedra ou equiv.c/enchimento em madeira 1a.qualidade esp. 30mm p/ pintura, inclusive alizares, dobradiças e fechadura externa em latão cromado LaFonte ou equiv., exclusive marco, nas dim.: 0.70 x 2.10 m (P2)</t>
  </si>
  <si>
    <t>6.5</t>
  </si>
  <si>
    <t>61902 IOPES</t>
  </si>
  <si>
    <t>Porta em madeira de Lei tipo Angelim Pedra ou equiv. c/ enchimento em madeira de 1ª qualidade esp. 30mm, com visor de vidro, inclusive alizares, dobradiças e fechaduras externas em latão cromado La Fonte/equiv. exclusive marco, nas dimensões: 0.80 x 2.10 m (P5)</t>
  </si>
  <si>
    <t>6.6</t>
  </si>
  <si>
    <t>61303 IOPES</t>
  </si>
  <si>
    <t>Porta em madeira de lei tipo angelim pedra ou equiv.c/enchimento em madeira 1a.qualidade esp. 30mm p/ pintura, inclusive alizares, dobradiças e fechadura externa em latão cromado LaFonte ou equiv., exclusive marco, nas dim.: 0.80 x 2.10 m (P3 e P4)</t>
  </si>
  <si>
    <t>6.7</t>
  </si>
  <si>
    <t>01924 ORSE</t>
  </si>
  <si>
    <t>Revestimento com chapa em fórmica brilhante, esp. = 1,3 mm, colada c/ formicola ou similar</t>
  </si>
  <si>
    <t>ESQUADRIAS METÁLICAS</t>
  </si>
  <si>
    <t>7.1</t>
  </si>
  <si>
    <t>PORTAS DE ALUMÍNIO</t>
  </si>
  <si>
    <t>7.1.1</t>
  </si>
  <si>
    <t>71704 IOPES</t>
  </si>
  <si>
    <t>Porta de abrir tipo veneziana em alumínio anodizado, linha 25, completa, incl. puxador com tranca, caixilho, alizar e contramarco (PV2, PV3, PV5 e Nº11)</t>
  </si>
  <si>
    <t>7.1.2</t>
  </si>
  <si>
    <t>91380 SEDOP</t>
  </si>
  <si>
    <t>Esquadria c/ venezianas de aluminio natural c/ ferragens (P7 e P9)</t>
  </si>
  <si>
    <t>7.2</t>
  </si>
  <si>
    <t>PORTAS DE VIDRO TEMPERADO</t>
  </si>
  <si>
    <t>7.2.1</t>
  </si>
  <si>
    <t>11556 ORSE</t>
  </si>
  <si>
    <t>Porta em vidro temperado 10mm, incolor, inclusive ferragens de fixação, puxador simples e instalação (P6 e P8)</t>
  </si>
  <si>
    <t>7.2.2</t>
  </si>
  <si>
    <t>91518 SEDOP</t>
  </si>
  <si>
    <t>Pele de vidro ( Painel fixo) (fachada - Vidro laminado 8mm - 4+4mm) (conforme projeto)</t>
  </si>
  <si>
    <t>7.2.3</t>
  </si>
  <si>
    <t>91519 SEDOP</t>
  </si>
  <si>
    <t>Pele de vidro ( Painel móvel) (fachada - Vidro laminado 8mm - 4+4mm) (conforme projeto)</t>
  </si>
  <si>
    <t>7.3</t>
  </si>
  <si>
    <t>JANELAS DE VIDRO TEMPERADO</t>
  </si>
  <si>
    <t>7.3.1</t>
  </si>
  <si>
    <t>01884 ORSE</t>
  </si>
  <si>
    <t>Vidro temperado 8 mm, liso, transparente, com ferragens</t>
  </si>
  <si>
    <t>7.3.2</t>
  </si>
  <si>
    <t>71103 IOPES</t>
  </si>
  <si>
    <t>Grade de tela tipo mosquiteiro de arame galvanizado #18, fio 32, inclusive, requadro em cantoneira de ferro 1/8"x1/2"x1/2" (cozinha e dispensa)</t>
  </si>
  <si>
    <t>VIDROS E ESPELHOS</t>
  </si>
  <si>
    <t>8.1</t>
  </si>
  <si>
    <t>ESPELHOS</t>
  </si>
  <si>
    <t>8.2</t>
  </si>
  <si>
    <t>80201 IOPES</t>
  </si>
  <si>
    <t>Espelho para banheiros espessura 4 mm, incluindo chapa compensada 10 mm, moldura de alumínio em perfil L 3/4", fixado com parafusos cromados</t>
  </si>
  <si>
    <t>COBERTURA</t>
  </si>
  <si>
    <t>9.1</t>
  </si>
  <si>
    <t xml:space="preserve"> ESTRUTURA PARA TELHADO</t>
  </si>
  <si>
    <t>9.1.1</t>
  </si>
  <si>
    <t>90102 IOPES</t>
  </si>
  <si>
    <t>Estrutura de madeira de lei tipo Paraju, peroba mica, angelim pedra ou equivalente para telhado de telha ondulada de fibrocimento esp. 6mm, com pontaletes e caibros, inclusive tratamento com cupinicida, exclusive telhas</t>
  </si>
  <si>
    <t>9.2</t>
  </si>
  <si>
    <t>TELHADO</t>
  </si>
  <si>
    <t>9.2.1</t>
  </si>
  <si>
    <t>90202 IOPES</t>
  </si>
  <si>
    <t>Cobertura nova de telhas onduladas de fibrocimento 6.0mm, inclusive cumeeiras e acessórios de fixação</t>
  </si>
  <si>
    <t>9.3</t>
  </si>
  <si>
    <t>RUFOS E CALHAS</t>
  </si>
  <si>
    <t>9.3.1</t>
  </si>
  <si>
    <t>90302 IOPES</t>
  </si>
  <si>
    <t>Rufo de chapa metálica nº 26 com largura de 30 cm</t>
  </si>
  <si>
    <t>9.4</t>
  </si>
  <si>
    <t>PLATIBANDA</t>
  </si>
  <si>
    <t>9.4.1</t>
  </si>
  <si>
    <t>90403 IOPES</t>
  </si>
  <si>
    <t>Platibanda de alvenaria de bloco cerâmico 10x20x20cm, assentado com argamassa de cimento, calhidratada CH1 e areia no traço 1:0,5:8, amarrada com pilaretes em conc. arm. a cada 2m (H=1.0m), excl. revest.</t>
  </si>
  <si>
    <t>IMPERMEABILIZAÇÃO</t>
  </si>
  <si>
    <t>10.1</t>
  </si>
  <si>
    <t>04953 ORSE</t>
  </si>
  <si>
    <t>Impermeabilização de alicerce e viga baldrame com 2 demãos de tinta asfáltica tipo Neutrol da Vedacit ou similar, exceto argamassa impermeabilização</t>
  </si>
  <si>
    <t>10.2</t>
  </si>
  <si>
    <t>10029 ORSE</t>
  </si>
  <si>
    <t>Impermeabilização c/ manta asfáltica aluminizada 3mm, estruturada com não-tecido de poliéster, inclusive aplicação de 1 demão de primer (calhas cobertura)</t>
  </si>
  <si>
    <t>10.3</t>
  </si>
  <si>
    <t>80153 SEDOP</t>
  </si>
  <si>
    <t>Impermeabilização rebaixos banho./coz.(tinta asfaltica)</t>
  </si>
  <si>
    <t>TETOS E FORROS</t>
  </si>
  <si>
    <t>11.1</t>
  </si>
  <si>
    <t>REBAIXAMENTOS</t>
  </si>
  <si>
    <t>11.2</t>
  </si>
  <si>
    <t>110201 IOPES</t>
  </si>
  <si>
    <t>Forro de gesso acabamento tipo liso</t>
  </si>
  <si>
    <t>11.3</t>
  </si>
  <si>
    <t>01951 ORSE</t>
  </si>
  <si>
    <t>Sanca ou cimalha em gesso l = 6 cm (conforme projeto)</t>
  </si>
  <si>
    <t>REVESTIMENTO DE PAREDES</t>
  </si>
  <si>
    <t>12.1</t>
  </si>
  <si>
    <t>REVESTIMENTO COM ARGAMASSA</t>
  </si>
  <si>
    <t>12.1.1</t>
  </si>
  <si>
    <t>120101 IOPES</t>
  </si>
  <si>
    <t>Chapisco de argamassa de cimento e areia média ou grossa lavada, no traço 1:3, espessura 5 mm</t>
  </si>
  <si>
    <t>12.2</t>
  </si>
  <si>
    <t>REVESTIMENTO EMPREGANDO ARGAMASSA DE CIMENTO, CAL E AREIA</t>
  </si>
  <si>
    <t>12.2.1</t>
  </si>
  <si>
    <t>120301 IOPES</t>
  </si>
  <si>
    <t>Emboço de argamassa de cimento, cal hidratada CH1 e areia média ou grossa lavada no traço 1:0.5:6, espessura 20 mm</t>
  </si>
  <si>
    <t>12.2.2</t>
  </si>
  <si>
    <t>120302 IOPES</t>
  </si>
  <si>
    <t>Reboco de argamassa de cimento, cal hidratada CH1 e areia média ou grossa lavada no traço 1:0.5:6, espessura 5mm</t>
  </si>
  <si>
    <t>12.3</t>
  </si>
  <si>
    <t>ACABAMENTOS</t>
  </si>
  <si>
    <t>12.3.1</t>
  </si>
  <si>
    <t>87267 SINAPI</t>
  </si>
  <si>
    <t>Revestimento cerâmico para paredes internas com placas tipo esmaltada extra de dimensões 20x20 cm aplicadas em ambientes de área maior que 5 m² a meia altura das paredes. af_06/2014 ( cores azul, amarelo e vermelho, 21x21, Tecnogres ou equiv.)</t>
  </si>
  <si>
    <t>12.3.2</t>
  </si>
  <si>
    <t>130233 IOPES</t>
  </si>
  <si>
    <t>Porcelanato polido, acabamento acetinado, dim. 60x60cm, ref. de cor CIMENTO CINZA BOLD Potobello/equiv, utilizando dupla colagem de argamassa colante para porcelanato tipo ACIII e rejunte 1mm para porcelanato (platibanda)</t>
  </si>
  <si>
    <t>12.3.3</t>
  </si>
  <si>
    <t>Comp. 40</t>
  </si>
  <si>
    <t>Porcelanato polido, Avorio, 60x60, Delta, Biancogres, Eliane, Portobello/equiv, utilizando dupla colagem de argamassa colante para porcelanato tipo ACIII e rejunte 1mm para porcelanato</t>
  </si>
  <si>
    <t>12.3.4</t>
  </si>
  <si>
    <t>07137 ORSE</t>
  </si>
  <si>
    <t>Revestimento cerâmico para piso ou parede, 30 x 44 cm, Biancogres, linha Oviedo Puro, branco, aplicado com argamassa industrializada ac-ii, rejuntado, exclusive regularização de base ou emboço</t>
  </si>
  <si>
    <t>12.3.5</t>
  </si>
  <si>
    <t>10994 ORSE</t>
  </si>
  <si>
    <t>Revestimento cerâmico para piso ou parede, 32 x 66 cm, pei 3, Elizabeth, porcelanato, retificado, linha nevada acetinada ou similar, aplicado com argamassa industrializada ac-iii, rejunte acrílico, exclusive regularização de base ou emboço (amadeirado - conforme projeto)</t>
  </si>
  <si>
    <t>12.3.6</t>
  </si>
  <si>
    <t>03925 ORSE</t>
  </si>
  <si>
    <t>Revestimento cerâmico para parede, 5 x 15 cm, linha BRICK bege, Portobello ou similar, aplicado com argamassa industrializada ac-iii, rejuntado, exclusive regularização de base ou emboço (mureta entrada)</t>
  </si>
  <si>
    <t>12.3.7</t>
  </si>
  <si>
    <t>05057 ORSE</t>
  </si>
  <si>
    <t xml:space="preserve"> Revestimento metálico em alumínio composto (Alucobond), e=0,4mm, pintura Kaynar 500 composta por seis camadas, inclusive estrutura metálica auxiliar em perfil de viga "U" de 2" - fornecimento e montagem </t>
  </si>
  <si>
    <t>PISOS INTERNOS E EXTERNOS</t>
  </si>
  <si>
    <t>13.1</t>
  </si>
  <si>
    <t>LASTRO DE CONTRAPISO</t>
  </si>
  <si>
    <t>13.1.1</t>
  </si>
  <si>
    <t>130112 IOPES</t>
  </si>
  <si>
    <t>Lastro de concreto não estrutural, espessura de 6 cm</t>
  </si>
  <si>
    <t>13.1.2</t>
  </si>
  <si>
    <t>130103 IOPES</t>
  </si>
  <si>
    <t>Regularização de base p/ revestimento cerâmico, com argamassa de cimento e areia no traço 1:5, espessura 3cm</t>
  </si>
  <si>
    <t>13.1.3</t>
  </si>
  <si>
    <t xml:space="preserve">  03639 ORSE</t>
  </si>
  <si>
    <t xml:space="preserve"> Fornecimento e instalação de tela aço soldada nervurada CA-60, Q-283, malha 10x10cm, ferro 6.02mm (4,48 kg/m2), painel 2,45x6,0m, Telcon ou similar</t>
  </si>
  <si>
    <t>13.1.4</t>
  </si>
  <si>
    <t>97087 SINAPI</t>
  </si>
  <si>
    <t>Camada separadora para execução de radier, em lona plástica. af_09/2017</t>
  </si>
  <si>
    <t>13.2</t>
  </si>
  <si>
    <t>13.2.1</t>
  </si>
  <si>
    <t>Porcelanato polido, acabamento acetinado, dim. 60x60cm, ref. de cor CIMENTO CINZA BOLD Potobello/equiv, utilizando dupla colagem de argamassa colante para porcelanato tipo ACIII e rejunte 1mm para porcelanato</t>
  </si>
  <si>
    <t>13.2.2</t>
  </si>
  <si>
    <t>98671 SINAPI</t>
  </si>
  <si>
    <t>Piso em granito aplicado em ambientes internos. Af_06/2018 (Branco Siena ou equiv.)</t>
  </si>
  <si>
    <t>13.2.3</t>
  </si>
  <si>
    <t>07675 ORSE</t>
  </si>
  <si>
    <t>Piso de borracha reciclada, granulada, tipo"S", da marca HAIAH ou similar, fornecimento e instalação, exclusive lastro de brita e areia</t>
  </si>
  <si>
    <t>DEGRAUS, RODAPÉS, SOLEIRAS E PEITORIS</t>
  </si>
  <si>
    <t>14.1</t>
  </si>
  <si>
    <t>130303 IOPES</t>
  </si>
  <si>
    <t>Rodapé de cerâmica PEI-3, assentado com argamassa de cimento cola h = 7.0 cm, inclusive rejuntamento</t>
  </si>
  <si>
    <t>14.2</t>
  </si>
  <si>
    <t>98685 SINAPI</t>
  </si>
  <si>
    <t>Rodapé em granito, altura 10 cm. AF_06/2018 (conforme projeto)</t>
  </si>
  <si>
    <t>14.3</t>
  </si>
  <si>
    <t>130308 IOPES</t>
  </si>
  <si>
    <t>Soleira de granito esp. 2 cm e largura de 15 cm</t>
  </si>
  <si>
    <t>14.4</t>
  </si>
  <si>
    <t>12446 ORSE</t>
  </si>
  <si>
    <t>Peitoril em granito branco siena, polido, c/ largura = 22 cm, esp = 2 cm (ou equiv.) (Ref. nº42 do projeto)</t>
  </si>
  <si>
    <t>PAVIMENTAÇÃO EXTERNA</t>
  </si>
  <si>
    <t>15.1</t>
  </si>
  <si>
    <t>200206 IOPES</t>
  </si>
  <si>
    <t>Blocos pré-moldados de concreto tipo pavi-s ou equivalente, espessura de 8 cm e resistência a compressão mínima de 35MPa, assentados sobre colchão de pó de pedra na espessura de 10 cm</t>
  </si>
  <si>
    <t>15.2</t>
  </si>
  <si>
    <t>200209 IOPES</t>
  </si>
  <si>
    <t>Passeio de cimentado camurçado com argamassa de cimento e areia no traço 1:3 esp. 1.5cm, e lastro de concreto com 8cm de espessura, inclusive preparo de caixa</t>
  </si>
  <si>
    <t>15.3</t>
  </si>
  <si>
    <t>200253 IOPES</t>
  </si>
  <si>
    <t>Fornecimento e assentamento de ladrilho hidráulico pastilhado, vermelho, dim. 20x20 cm, esp. 1.5cm, assentado com pasta de cimento colante, exclusive regularização e lastro</t>
  </si>
  <si>
    <t>15.4</t>
  </si>
  <si>
    <t>200202 IOPES</t>
  </si>
  <si>
    <t>Meio-fio de concreto pré-moldado com dimensões de 15x12x30x100 cm , rejuntados com argamassa de cimento e areia no traço 1:3</t>
  </si>
  <si>
    <t>15.5</t>
  </si>
  <si>
    <t>83693 SINAPI</t>
  </si>
  <si>
    <t>Caiação em meio fio</t>
  </si>
  <si>
    <t>PINTURAS E ACABAMENTOS</t>
  </si>
  <si>
    <t>16.1</t>
  </si>
  <si>
    <t>190101 IOPES</t>
  </si>
  <si>
    <t>Emassamento de paredes e forros, com duas demãos de massa à base de PVA, marcas de referência Suvinil, Coral ou Metalatex</t>
  </si>
  <si>
    <t>16.2</t>
  </si>
  <si>
    <t>190103 IOPES</t>
  </si>
  <si>
    <t>Emassamento de paredes e forros, com duas demãos de massa acrílica, marcas de referência Suvinil, Coral ou Metalatex</t>
  </si>
  <si>
    <t>16.3</t>
  </si>
  <si>
    <t>190104 IOPES</t>
  </si>
  <si>
    <t>Pintura com tinta látex PVA, marcas de referência Suvinil, Coral ou Metalatex, inclusive selador em paredes e forros, a três demãos</t>
  </si>
  <si>
    <t>16.4</t>
  </si>
  <si>
    <t>190106 IOPES</t>
  </si>
  <si>
    <t>Pintura com tinta acrílica, marcas de referência Suvinil, Coral ou Metalatex, inclusive selador acrílico, em paredes e forros, a três demãos</t>
  </si>
  <si>
    <t>16.5</t>
  </si>
  <si>
    <t>190603 IOPES</t>
  </si>
  <si>
    <t>Pintura sobre pisos, marcas de referência Novacor, Coral ou Suvinil, a duas demãos, Linha Premium</t>
  </si>
  <si>
    <t>INSTALAÇÕES HIDRO-SANITÁRIAS</t>
  </si>
  <si>
    <t>17.1</t>
  </si>
  <si>
    <t>SUMIDOURO, FOSSA SÉPTICAS E FILTROS ANAERÓBIOS</t>
  </si>
  <si>
    <t>17.1.1</t>
  </si>
  <si>
    <t>140108 IOPES</t>
  </si>
  <si>
    <t>Fossa séptica de anéis pré-moldados de concreto, diâmetro 2.00m, hútil 2.0m, completa, incluindo tampa c/visita de 60cm, concreto p/ fundo esp. 10cm, tubo de limpeza e escavação, conf. detalhe em projeto</t>
  </si>
  <si>
    <t>17.1.2</t>
  </si>
  <si>
    <t>140109 IOPES</t>
  </si>
  <si>
    <t>Filtro anaeróbio de naéis pré-moldados de concreto, diâm. 2.0m, hutil 2.0m, compl., incl. tampa c/visita 60cm, p/ fundo esp. 10 cm,escavação, brita 4 e tubulação de saída esgoto 150mm, conf. proj.</t>
  </si>
  <si>
    <t>17.1.3</t>
  </si>
  <si>
    <t>98080 SINAPI</t>
  </si>
  <si>
    <t>Sumidouro retangular em alvenaria com tijolos cerâmicos maciços, dimensões internas: 1,6 x 3,4 x 3,0m, área de infiltração: 32,9 m²</t>
  </si>
  <si>
    <t>17.2</t>
  </si>
  <si>
    <t>ENTRADA DE ÁGUA</t>
  </si>
  <si>
    <t>17.2.1</t>
  </si>
  <si>
    <t>140208 IOPES</t>
  </si>
  <si>
    <t>Padrão entrada d'água com caixa enterrada para hidrômetro com diametro de 1'' - padrão 2B da Cesan. NA caixa em alvenaria 60x80x40cm e com tampa articulada de ferro fundido, registro e conexões para instalação de hidrômetro. Conferir detalhe</t>
  </si>
  <si>
    <t>17.3</t>
  </si>
  <si>
    <t>PONTOS HIDRO-SANITÁRIOS</t>
  </si>
  <si>
    <t>17.3.1</t>
  </si>
  <si>
    <t>140712 IOPES</t>
  </si>
  <si>
    <t>Ponto de válvula de descraga, inclusive válvula e acabamento anti-vandalismo cromado referência docol, fabrimar e deca</t>
  </si>
  <si>
    <t>17.4</t>
  </si>
  <si>
    <t>TUBULAÇÃO DE LIGAÇÃO DE CAIXAS</t>
  </si>
  <si>
    <t>17.4.1</t>
  </si>
  <si>
    <t>140903 IOPES</t>
  </si>
  <si>
    <t>Tubo de PVC rígido para esgoto no diâmetro de 100mm incluindo escavação e aterro com areia</t>
  </si>
  <si>
    <t>17.5</t>
  </si>
  <si>
    <t>CAIXAS EMPREGANDO ARGAMASSA DE CIMENTO, CAL E AREIA</t>
  </si>
  <si>
    <t>17.5.1</t>
  </si>
  <si>
    <t>141101 IOPES</t>
  </si>
  <si>
    <t>Caixas de inspeção de alv. blocos concreto 9x19x39cm, dim, 60x60cm e Hmáx = 1m, com tampa de conc. esp. 5cm, lastro de conc. esp. 10cm, revest intern. c/ chapisco e reboco impermeabilizado, incl. escavação, reaterro e enchimento</t>
  </si>
  <si>
    <t>17.5.2</t>
  </si>
  <si>
    <t>141105 IOPES</t>
  </si>
  <si>
    <t>Caixa retentora de matéria sólida de alv. bloco conc.9x19x39cm, dim 60x60cm e Hmáx=1m, c/ tampa conc. esp.5cm, lastro conc. esp.10cm, revest. internamente c/ chap, reb. impermeab., escavação, reaterro e parede int. em concreto</t>
  </si>
  <si>
    <t>17.5.3</t>
  </si>
  <si>
    <t>141108 IOPES</t>
  </si>
  <si>
    <t>Caixa de gordura especial de alv. bloco concr. 9x19x39cm, dim 60x60cm  Hmáx=1m, com tampa em concr. esp. 5cm, lastro concr. esp. 10cm, revestida intern. c/ chapisco e reboco impermeab, escavação, reaterro e parede interna em concr.</t>
  </si>
  <si>
    <t>17.6</t>
  </si>
  <si>
    <t>REDE DE ÁGUA FRIA - TUBOS SOLDÁVEIS DE PVC</t>
  </si>
  <si>
    <t>17.6.1</t>
  </si>
  <si>
    <t>141409 IOPES</t>
  </si>
  <si>
    <t>Tubo de PVC rígido soldável marrom, diâm. 20mm (1/2'), inclusive conexões</t>
  </si>
  <si>
    <t>17.6.2</t>
  </si>
  <si>
    <t>89446 SINAPI</t>
  </si>
  <si>
    <t>Tubo, pvc, soldável, dn 25mm, instalado em prumada de água - fornecimento e instalação.</t>
  </si>
  <si>
    <t>17.6.3</t>
  </si>
  <si>
    <t>141413 IOPES</t>
  </si>
  <si>
    <t>Tubo de PVC rígido soldável marrom, diâm. 50mm (11/2'), inclusive conexões</t>
  </si>
  <si>
    <t>17.6.4</t>
  </si>
  <si>
    <t>89448 SINAPI</t>
  </si>
  <si>
    <t>Tubo, pvc, soldável, dn 40mm, instalado em prumada de água - fornecimento e instalação.</t>
  </si>
  <si>
    <t>17.7</t>
  </si>
  <si>
    <t>REDE DE ÁGUA FRIA - CONEXÕES SOLDÁVEIS DE PVC</t>
  </si>
  <si>
    <t>17.7.1</t>
  </si>
  <si>
    <t>89438 SINAPI</t>
  </si>
  <si>
    <t>Te, pvc, soldável, dn 20mm, instalado em ramal de distribuição de água - fornecimento e instalação. Af_12/2014</t>
  </si>
  <si>
    <t>17.7.2</t>
  </si>
  <si>
    <t xml:space="preserve">89417 SINAPI </t>
  </si>
  <si>
    <t>Luva, pvc, soldável, dn 20mm, instalado em ramal de distribuição de água - fornecimento e instalação. Af_12/2014</t>
  </si>
  <si>
    <t>17.7.3</t>
  </si>
  <si>
    <t xml:space="preserve">89404 SINAPI </t>
  </si>
  <si>
    <t>Joelho 90 graus, pvc, soldável, dn 20mm, instalado em ramal de distribuição de água - fornecimento e instalação. Af_12/2014</t>
  </si>
  <si>
    <t>17.7.4</t>
  </si>
  <si>
    <t>89481 SINAPI</t>
  </si>
  <si>
    <t>Joelho 90 graus, pvc, soldável, dn 25mm, instalado em prumada de água - fornecimento e instalação.</t>
  </si>
  <si>
    <t>17.7.5</t>
  </si>
  <si>
    <t>89501 SINAPI</t>
  </si>
  <si>
    <t>Joelho 90 graus, pvc, soldável, dn 50mm, instalado em prumada de água - fornecimento e instalação</t>
  </si>
  <si>
    <t>17.7.6</t>
  </si>
  <si>
    <t>01170 ORSE</t>
  </si>
  <si>
    <t>Tê 90º de pvc rígido soldável, marrom diâm = 40mm</t>
  </si>
  <si>
    <t>17.7.7</t>
  </si>
  <si>
    <t>01143 ORSE</t>
  </si>
  <si>
    <t>Joelho de redução 90º de pvc rígido soldável, marrom diâm = 25 x 20mm</t>
  </si>
  <si>
    <t>17.7.8</t>
  </si>
  <si>
    <t>89385 SINAPI</t>
  </si>
  <si>
    <t>Luva soldável e com rosca, pvc, soldável, dn 25mm x 3/4, instalado em ramal ou sub-ramal de água - fornecimento e instalação.</t>
  </si>
  <si>
    <t>17.7.9</t>
  </si>
  <si>
    <t>01168 ORSE</t>
  </si>
  <si>
    <t>Tê 90º de pvc rígido soldável, marrom diâm = 25mm</t>
  </si>
  <si>
    <t>17.7.10</t>
  </si>
  <si>
    <t>90373 SINAPI</t>
  </si>
  <si>
    <t>Joelho 90 graus com bucha de latão, pvc, soldável, dn 25mm, x 1/2? instalado em ramal ou sub-ramal de água - fornecimento e instalação.</t>
  </si>
  <si>
    <t>17.8</t>
  </si>
  <si>
    <t>REDE DE ESGOTO - TUBOS DE PVC</t>
  </si>
  <si>
    <t>17.8.1</t>
  </si>
  <si>
    <t>140904 IOPES</t>
  </si>
  <si>
    <t>Tubo PVC rígido para esgoto no diâmetro de 150mm incluindo escavação e aterro com areia</t>
  </si>
  <si>
    <t>17.8.2</t>
  </si>
  <si>
    <t>Tubo PVC rígido para esgoto no diâmetro de 100mm incluindo escavação e aterro com areia</t>
  </si>
  <si>
    <t>17.8.3</t>
  </si>
  <si>
    <t>89711 SINAPI</t>
  </si>
  <si>
    <t>Tubo pvc, serie normal, esgoto predial, dn 40 mm, fornecido e instalado em ramal de descarga ou ramal de esgoto sanitário.</t>
  </si>
  <si>
    <t>17.8.4</t>
  </si>
  <si>
    <t>89712 SINAPI</t>
  </si>
  <si>
    <t>Tubo pvc, serie normal, esgoto predial, dn 50 mm, fornecido e instalado em ramal de descarga ou ramal de esgoto sanitário.</t>
  </si>
  <si>
    <t>17.8.5</t>
  </si>
  <si>
    <t>89799 SINAPI</t>
  </si>
  <si>
    <t xml:space="preserve">Tubo pvc, serie normal, esgoto predial, dn 75 mm, fornecido e instalado em prumada de esgoto sanitário ou ventilação.  </t>
  </si>
  <si>
    <t>17.9</t>
  </si>
  <si>
    <t>REDE DE ESGOTO -  CONEXÕES SOLDÁVEIS DE PVC</t>
  </si>
  <si>
    <t>17.9.1</t>
  </si>
  <si>
    <t>COMP.33</t>
  </si>
  <si>
    <t>Fornecimento e instalação curva de 90° curta de 100mm.</t>
  </si>
  <si>
    <t>17.9.2</t>
  </si>
  <si>
    <t>COMP.34</t>
  </si>
  <si>
    <t>Fornecimento e instalação curva de 90° curta de 40mm.</t>
  </si>
  <si>
    <t>17.9.3</t>
  </si>
  <si>
    <t>89810 SINAPI</t>
  </si>
  <si>
    <t>Joelho 45 graus, pvc, serie normal, esgoto predial, dn 100 mm, junta elástica, fornecido e instalado em prumada de esgoto sanitário ou ventilação.</t>
  </si>
  <si>
    <t>17.9.4</t>
  </si>
  <si>
    <t>89726 SINAPI</t>
  </si>
  <si>
    <t>Joelho 45 graus, pvc, serie normal, esgoto predial, dn 40 mm, junta soldável, fornecido e instalado em ramal de descarga ou ramal de esgoto sanitário.</t>
  </si>
  <si>
    <t>17.9.5</t>
  </si>
  <si>
    <t>89732 SINAPI</t>
  </si>
  <si>
    <t>Joelho 45 graus, pvc, serie normal, esgoto predial, dn 50 mm, junta elástica, fornecido e instalado em ramal de descarga ou ramal de esgoto sanitário.</t>
  </si>
  <si>
    <t>17.9.6</t>
  </si>
  <si>
    <t>01562 ORSE</t>
  </si>
  <si>
    <t>Junção simples em pvc rígido soldável, para esgoto primário, diâm = 100 x 50mm</t>
  </si>
  <si>
    <t>17.9.7</t>
  </si>
  <si>
    <t>89797 SINAPI</t>
  </si>
  <si>
    <t>Junção simples, pvc, serie normal, esgoto predial, dn 100 x 100 mm, junta elástica, fornecido e instalado em ramal de descarga ou ramal de esgoto sanitário.</t>
  </si>
  <si>
    <t>17.9.8</t>
  </si>
  <si>
    <t>89785 SINAPI</t>
  </si>
  <si>
    <t>Junção simples, pvc, serie normal, esgoto predial, dn 50 x 50 mm, junta elástica, fornecido e instalado em ramal de descarga ou ramal de esgoto sanitário.</t>
  </si>
  <si>
    <t>17.9.9</t>
  </si>
  <si>
    <t>07595 ORSE</t>
  </si>
  <si>
    <t>Junção simples em pvc rígido c/ anéis, para esgoto primário, diâm = 150 x 150mm</t>
  </si>
  <si>
    <t>17.9.10</t>
  </si>
  <si>
    <t>89796 SINAPI</t>
  </si>
  <si>
    <t>Te, pvc, serie normal, esgoto predial, dn 100 x 100 mm, junta elástica, fornecido e instalado em ramal de descarga ou ramal de esgoto sanitário.</t>
  </si>
  <si>
    <t>17.9.11</t>
  </si>
  <si>
    <t>89784 SINAPI</t>
  </si>
  <si>
    <t>Te, pvc, serie normal, esgoto predial, dn 50 x 50 mm, junta elástica, fornecido e instalado em ramal de descarga ou ramal de esgoto sanitário.</t>
  </si>
  <si>
    <t>17.9.12</t>
  </si>
  <si>
    <t>89854 SINAPI</t>
  </si>
  <si>
    <t>Joelho 90 graus, pvc, serie normal, esgoto predial, dn 150 mm, junta elástica, fornecido e instalado em subcoletor aéreo de esgoto sanitário.</t>
  </si>
  <si>
    <t>17.9.13</t>
  </si>
  <si>
    <t>89744 SINAPI</t>
  </si>
  <si>
    <t>Joelho 90 graus, pvc, serie normal, esgoto predial, dn 100 mm, junta elástica, fornecido e instalado em ramal de descarga ou ramal de esgoto sanitário.</t>
  </si>
  <si>
    <t>17.9.14</t>
  </si>
  <si>
    <t>89724 SINAPI</t>
  </si>
  <si>
    <t>Joelho 90 graus, pvc, serie normal, esgoto predial, dn 40 mm, junta soldável, fornecido e instalado em ramal de descarga ou ramal de esgoto sanitario.</t>
  </si>
  <si>
    <t>17.9.15</t>
  </si>
  <si>
    <t>89731 SINAPI</t>
  </si>
  <si>
    <t>Joelho 90 graus, pvc, serie normal, esgoto predial, dn 50 mm, junta elástica, fornecido e instalado em ramal de descarga ou ramal de esgoto sanitário.</t>
  </si>
  <si>
    <t>17.9.16</t>
  </si>
  <si>
    <t>10318 ORSE</t>
  </si>
  <si>
    <t>Joelho 90° pvc rigido, série R, d= 40mm, para esgoto secundário</t>
  </si>
  <si>
    <t>17.9.17</t>
  </si>
  <si>
    <t>01609 ORSE</t>
  </si>
  <si>
    <t>Tê 90° em pvc rígido soldável, para esgoto secundário, diâm = 40mm</t>
  </si>
  <si>
    <t>17.9.18</t>
  </si>
  <si>
    <t>01606 ORSE</t>
  </si>
  <si>
    <t>Junção 45° em pvc rígido soldável, para esgoto secundário, diâm = 40mm</t>
  </si>
  <si>
    <t>17.10</t>
  </si>
  <si>
    <t>CAIXAS E ACESSÓRIOS</t>
  </si>
  <si>
    <t>17.10.1</t>
  </si>
  <si>
    <t>01702 ORSE</t>
  </si>
  <si>
    <t>Ralo sifonado em pvc d = 100 mm altura regulável, saída 40 mm, com grelha redonda acabamento cromado</t>
  </si>
  <si>
    <t>17.10.2</t>
  </si>
  <si>
    <t>01695 ORSE</t>
  </si>
  <si>
    <t>Caixa sifonada quadrada, com sete entradas e uma saída, d = 150 x 150 x 50mm, ref. nº25, acabamento branco, marca Akros ou similar</t>
  </si>
  <si>
    <t>17.10.3</t>
  </si>
  <si>
    <t>142107 IOPES</t>
  </si>
  <si>
    <t>Ralo sifonado em PVC 100x100mm, com grelha PVC</t>
  </si>
  <si>
    <t>17.10.4</t>
  </si>
  <si>
    <t>142104 IOPES</t>
  </si>
  <si>
    <t>Sifão em PVC para pia de cozinha ou lavatório 1x11/2"</t>
  </si>
  <si>
    <t>17.10.5</t>
  </si>
  <si>
    <t>142106 IOPES</t>
  </si>
  <si>
    <t>Sifão em PVC para tanque 2</t>
  </si>
  <si>
    <t>17.10.6</t>
  </si>
  <si>
    <t>170561 IOPES</t>
  </si>
  <si>
    <t>Reservatório de polietileno de 15.000l, inclusive peça de madeira 5 x 16cm para apoio, exclusive flanges e torneiras de boia</t>
  </si>
  <si>
    <t>17.11</t>
  </si>
  <si>
    <t>DRENAGEM DE ÁGUAS PLUVIAIS</t>
  </si>
  <si>
    <t>17.11.1</t>
  </si>
  <si>
    <t>17.11.2</t>
  </si>
  <si>
    <t>141102 IOPES</t>
  </si>
  <si>
    <t>Caixa de areia de alvenaria de blocos de concreto 9x19x39cm, dim. 60x60cm e Hmáx=1m, c/ tampa em concreto esp. 5cm, lastro concreto esp. 10cm, revestida intern. c/ chapisco e reboco impermeabilizante, incl. escavação e reaterro</t>
  </si>
  <si>
    <t>17.11.3</t>
  </si>
  <si>
    <t>141909 IOPES</t>
  </si>
  <si>
    <t>Tubo de PVC rígido soldável branco, para esgoto, diâmetro 100mm (4"), inclusive conexões</t>
  </si>
  <si>
    <t>17.12</t>
  </si>
  <si>
    <t>LOUÇAS, ACESSÓRIOS E METAIS</t>
  </si>
  <si>
    <t>17.12.1</t>
  </si>
  <si>
    <t>170116 IOPES</t>
  </si>
  <si>
    <t>Vaso sanitário padrão popular completo com acessórios para ligação, marcas de referência Deca, Celite ou Ideal Standard, inclusive assento plástico</t>
  </si>
  <si>
    <t>17.12.2</t>
  </si>
  <si>
    <t>170114 IOPES</t>
  </si>
  <si>
    <t>Bacia sifonada infantil de louça branca, marcas de referência Deca, Celite ou Ideal Standard, inclusive tampa e acessórios</t>
  </si>
  <si>
    <t>17.12.3</t>
  </si>
  <si>
    <t>170133 IOPES</t>
  </si>
  <si>
    <t>Cuba louça branca oval, de embutir, Mod. L37, marca de ref. Deca incl. válvula e sifão, exclusive torneira.</t>
  </si>
  <si>
    <t>17.12.4</t>
  </si>
  <si>
    <t>170512 IOPES</t>
  </si>
  <si>
    <t>Cuba de aço inox n° 1(dim.460x300x150)mm, marcas de referência Franke, Strake, tramontina, inclusive válvula de metal 31/2" e sifão cromado 1 x 1/2", excl. torneira</t>
  </si>
  <si>
    <t>17.12.5</t>
  </si>
  <si>
    <t>170530 IOPES</t>
  </si>
  <si>
    <t>Cuba em aço inox nº 02(dim.560x340x150)mm, marcas de referência Franke, Strake, tramontina, inclusive válvula de metal 31/2" e sifão cromado 1 x 1/2", excl. torneira</t>
  </si>
  <si>
    <t>17.12.6</t>
  </si>
  <si>
    <t>170515 IOPES</t>
  </si>
  <si>
    <t>Cuba p/ panelões de aço inox 80x60x40 cm, marcas de referência Fisher, Metalpress ou Mekal, inclusive válvula metal 1 1/4" e sifão cromado 1 x 1 1/2", excl. torneira</t>
  </si>
  <si>
    <t>17.12.7</t>
  </si>
  <si>
    <t>02089 ORSE</t>
  </si>
  <si>
    <t>Lavatório louça (Deca-Ravena ref L-91 ou similares) sem coluna, c/ sifão cromado, válvula cromada, engate cromado, exclusive torneira</t>
  </si>
  <si>
    <t>17.12.8</t>
  </si>
  <si>
    <t>170131 IOPES</t>
  </si>
  <si>
    <t>Lavatório de louça branca com coluna suspensa - ref L51 + CS 1v, cor branca, inclusive sifão, válvula e engates cromados, exclusive torneira, para PNE</t>
  </si>
  <si>
    <t>17.12.9</t>
  </si>
  <si>
    <t>170509 IOPES</t>
  </si>
  <si>
    <t>Tanque de aço inox nº 2, marcas de referência Fisher, Metalpress ou Mekal, inclusive válvula de metal e sifão</t>
  </si>
  <si>
    <t>17.12.10</t>
  </si>
  <si>
    <t>86872 SINAPI</t>
  </si>
  <si>
    <t>Tanque de louça branca com coluna, 30L ou equivalente - fornecimento e instalação. Af_01/2020 (40L)</t>
  </si>
  <si>
    <t>17.12.11</t>
  </si>
  <si>
    <t>180809 IOPES</t>
  </si>
  <si>
    <t>Chuveiro elétrico tipo ducha Lorenzet ou Corona</t>
  </si>
  <si>
    <t>17.12.12</t>
  </si>
  <si>
    <t>170519 IOPES</t>
  </si>
  <si>
    <t>Ducha manual Acqua jet , linha Aquarius, com registro ref.C 2195, marcas de referência Fabrimar, Deca ou Docol</t>
  </si>
  <si>
    <t>17.12.13</t>
  </si>
  <si>
    <t>170315 IOPES</t>
  </si>
  <si>
    <t>Torneira pressão cromada diam. 1/2" para pia, marcas de referência Fabrimar, Deca ou Docol</t>
  </si>
  <si>
    <t>17.12.14</t>
  </si>
  <si>
    <t>170304 IOPES</t>
  </si>
  <si>
    <t>Torneira pressão cromada diâm. 1/2" para lavatório, marcas de referência Fabrimar, Deca ou Docol</t>
  </si>
  <si>
    <t>17.12.15</t>
  </si>
  <si>
    <t>170306 IOPES</t>
  </si>
  <si>
    <t>Torneira para tanque, marcas de referência Fabrimar, Deca ou Docol.</t>
  </si>
  <si>
    <t>17.12.16</t>
  </si>
  <si>
    <t>08758 ORSE</t>
  </si>
  <si>
    <t>Torneira eletrica Versátil, Lorenzetti ou similar</t>
  </si>
  <si>
    <t>17.12.17</t>
  </si>
  <si>
    <t>12133 ORSE</t>
  </si>
  <si>
    <t>Barra de apoio, reta, fixa, em aço inox, l=70cm, d=1 1/2", Jackwal ou similar</t>
  </si>
  <si>
    <t>17.12.18</t>
  </si>
  <si>
    <t>02390 ORSE</t>
  </si>
  <si>
    <t>Barra de apoio, reta, fixa, em aço inox, l=90cm, d=1 1/2", Jackwal ou similar</t>
  </si>
  <si>
    <t>17.12.19</t>
  </si>
  <si>
    <t>COMP.41</t>
  </si>
  <si>
    <t>Banheira de embutir em PVC, dimensões 77x45x20cm; Burigotto ou equivalente.Fornecimento e instalação</t>
  </si>
  <si>
    <t>17.12.20</t>
  </si>
  <si>
    <t>170524 IOPES</t>
  </si>
  <si>
    <t>Cabide simples de um gancho, linha Versailles, ref. 08, acabamento cromado, da Moldenox, Docol ou Deca</t>
  </si>
  <si>
    <t>17.12.21</t>
  </si>
  <si>
    <t>170135 IOPES</t>
  </si>
  <si>
    <t>Bacia sifonada de louça branca para portadores de necessidades especiais, Vogue Plus Conforto - Linha Conforto, mod P51, incl. assento com abertura frontal, ref.AP52,marca de ref. Deca ou equivalente</t>
  </si>
  <si>
    <t>17.13</t>
  </si>
  <si>
    <t xml:space="preserve"> BANCADAS</t>
  </si>
  <si>
    <t>17.13.1</t>
  </si>
  <si>
    <t>11736 ORSE</t>
  </si>
  <si>
    <t>Bancada em granito branco fortaleza, e = 2cm (ou equiv.)</t>
  </si>
  <si>
    <t>17.13.2</t>
  </si>
  <si>
    <t>07688 ORSE</t>
  </si>
  <si>
    <t>Prateleira em granito branco polar, largura 25cm, e= 2cm (ou equiv.)</t>
  </si>
  <si>
    <t>SISTEMA DE PROTEÇÃO CONTRA INCÊNDIO</t>
  </si>
  <si>
    <t>18.1</t>
  </si>
  <si>
    <t>160602 IOPES</t>
  </si>
  <si>
    <t>Hidrante de parede, com abrigo em chapa, 60x90x17cm, com suporte e mangueira 20m 63mm, adaptador rosca fêmea e engate rápido, esguicho em latão regulavel, registro globo angular 45º/ 63mm</t>
  </si>
  <si>
    <t>18.2</t>
  </si>
  <si>
    <t>141215 IOPES</t>
  </si>
  <si>
    <t>Tubo de aço galvanizado, inclusive conexões, diam. 50mm (2'')</t>
  </si>
  <si>
    <t>18.3</t>
  </si>
  <si>
    <t>170324 IOPES</t>
  </si>
  <si>
    <t>Regsitro de gaveta bruto diam. 50mm (2'')</t>
  </si>
  <si>
    <t>18.4</t>
  </si>
  <si>
    <t>160604 IOPES</t>
  </si>
  <si>
    <t>Extintor de incêndio de água pressurizada capacidade 2A (10L), inclusive suporte para fixação e inclusive placa sinalizadora em PVC Fotoluminescente</t>
  </si>
  <si>
    <t>18.5</t>
  </si>
  <si>
    <t>160606 IOPES</t>
  </si>
  <si>
    <t>Extintor de incêndio de gás carbônico CO2 5 B:C (6 Kg), inclusive suporte para fixação, inclusive placa sinalizadora em PVC fotoluminescente</t>
  </si>
  <si>
    <t>18.6</t>
  </si>
  <si>
    <t>160612 IOPES</t>
  </si>
  <si>
    <t>Placa de sinalização de segurança CODIGO 14 - 315/158(NBR 13.434); CÓDIGO S3(NT 14/2010-ES) ("SAIDA DE EMERGÊNCIA" - seta vertical)</t>
  </si>
  <si>
    <t>18.7</t>
  </si>
  <si>
    <t>160613IOPES</t>
  </si>
  <si>
    <t>Ponto para iluminação de emergência completo, inclusive bloco autônomo de iluminação 2x9W com tomada universal</t>
  </si>
  <si>
    <t>18.8</t>
  </si>
  <si>
    <t>101907 SINAPI</t>
  </si>
  <si>
    <t>Extintor de incêndio portátil com carga de co2 de 6 kg, classe BC-fornecimento e instalação.</t>
  </si>
  <si>
    <t>18.9</t>
  </si>
  <si>
    <t>160605 IOPES</t>
  </si>
  <si>
    <t>Extintor de incêndio portátil de pó químico ABC com capacidade 2A-20B:C (6 kg), inclusive suporte para fixação, EXCLUSIVE placa sinalizadora em PVC fotoluminescente</t>
  </si>
  <si>
    <t>18.10</t>
  </si>
  <si>
    <t>97599 SINAPI</t>
  </si>
  <si>
    <t>Luminária de emergência, com 30 lâmpadas led de 2 w, sem reator - fornecimento e instalação.</t>
  </si>
  <si>
    <t>18.11</t>
  </si>
  <si>
    <t>12898 ORSE</t>
  </si>
  <si>
    <t>Iluminação de balizamento face única</t>
  </si>
  <si>
    <t>18.12</t>
  </si>
  <si>
    <t>18.13</t>
  </si>
  <si>
    <t>160603 IOPES</t>
  </si>
  <si>
    <t>Hidrante de recalque no passeio em caixa metálica de 40x60x40cm, incl. registro globo angular 90º de  63mm, adaptador p/ engate rápido e tampa c/ corrente</t>
  </si>
  <si>
    <t>18.14</t>
  </si>
  <si>
    <t>COMP.20</t>
  </si>
  <si>
    <t>Fornecimento e instalação bomba de incêndio 4cv.</t>
  </si>
  <si>
    <t>18.15</t>
  </si>
  <si>
    <t>12015 ORSE</t>
  </si>
  <si>
    <t>Botoeira Liga-Desliga para Bomba de Incêndio Modelo BLD-1, marca VERIN ou simila</t>
  </si>
  <si>
    <t>18.16</t>
  </si>
  <si>
    <t>92368 SINAPI</t>
  </si>
  <si>
    <t>Tubo de aço galvanizado com costura, classe média, dn 80 (3"), conexão rosqueada, instalado em rede de alimentação para hidrante - fornecimento e instalação.</t>
  </si>
  <si>
    <t>18.17</t>
  </si>
  <si>
    <t>92367 SINAPI</t>
  </si>
  <si>
    <t>Tubo de aço galvanizado com costura, classe média, dn 65 (2 1/2"), conexão rosqueada, instalado em rede de alimentação para hidrante - fornecimento e instalação.</t>
  </si>
  <si>
    <t>18.18</t>
  </si>
  <si>
    <t>170326 IOPES</t>
  </si>
  <si>
    <t>Registro de gaveta bruto diam. 80mm (3")</t>
  </si>
  <si>
    <t>18.19</t>
  </si>
  <si>
    <t>170325 IOPES</t>
  </si>
  <si>
    <t>Registro de gaveta bruto diam. 65mm (21/2")</t>
  </si>
  <si>
    <t>18.20</t>
  </si>
  <si>
    <t>170338 IOPES</t>
  </si>
  <si>
    <t>Válvula de retenção horizontal ou vertical diam. 65mm (21/2")</t>
  </si>
  <si>
    <t>18.21</t>
  </si>
  <si>
    <t>9670 ORSE</t>
  </si>
  <si>
    <t>Fornecimento e instalação de pressostato 0 a 10 kgf/cm2</t>
  </si>
  <si>
    <t>18.22</t>
  </si>
  <si>
    <t>101917 SINAPI</t>
  </si>
  <si>
    <t>Manômetro 0 a 200 psi (0 a 14 kgf/cm2), d = 50mm - fornecimento e instalação.</t>
  </si>
  <si>
    <t>18.23</t>
  </si>
  <si>
    <t>92642 SINAPI</t>
  </si>
  <si>
    <t>Tê, em ferro galvanizado, conexão rosqueada, dn 65 (2 1/2"), instalado em rede de alimentação para hidrante - fornecimento e instalação.</t>
  </si>
  <si>
    <t>18.24</t>
  </si>
  <si>
    <t>92390 SINAPI</t>
  </si>
  <si>
    <t>Joelho 90 graus, em ferro galvanizado, dn 65 (2 1/2"), conexão rosqueada, instalado em rede de alimentação para hidrante - fornecimento e instalação.</t>
  </si>
  <si>
    <t>und</t>
  </si>
  <si>
    <t>18.25</t>
  </si>
  <si>
    <t>92636 SINAPI</t>
  </si>
  <si>
    <t>Joelho 90 graus, em ferro galvanizado, conexão rosqueada, dn 80 (3"), instalado em rede de alimentação para hidrante - fornecimento e instalação.</t>
  </si>
  <si>
    <t>18.26</t>
  </si>
  <si>
    <t>COMP.21</t>
  </si>
  <si>
    <t>Fornecimento e instalação tê de redução 85 mm x 65mm</t>
  </si>
  <si>
    <t>18.27</t>
  </si>
  <si>
    <t>170321 IOPES</t>
  </si>
  <si>
    <t>Registro de gaveta bruto diam. 25mm (1")</t>
  </si>
  <si>
    <t>18.28</t>
  </si>
  <si>
    <t>12706 ORSE</t>
  </si>
  <si>
    <t>Esguicho jato regulavel de 1 1/2", para combate a incendio - Rev. 01</t>
  </si>
  <si>
    <t>INSTALAÇÃO ELÉTRICA - 220V</t>
  </si>
  <si>
    <t>19.1</t>
  </si>
  <si>
    <t>QUADRO DE DISTRIBUIÇÃO</t>
  </si>
  <si>
    <t>19.1.1</t>
  </si>
  <si>
    <t>150306 IOPES</t>
  </si>
  <si>
    <t>Quadro de distribuição de energia, de embutir, com 12 divisões modulares, com barramento</t>
  </si>
  <si>
    <t>19.2</t>
  </si>
  <si>
    <t>CAIXA DE PASSAGEM</t>
  </si>
  <si>
    <t>19.2.1</t>
  </si>
  <si>
    <t>150612 IOPES</t>
  </si>
  <si>
    <t>Caixa de passagem em chapa de aço galvanizada 4' x 4', com tampa parafusada</t>
  </si>
  <si>
    <t>19.2.2</t>
  </si>
  <si>
    <t>150623 IOPES</t>
  </si>
  <si>
    <t>Caixa de passagem 4x2', chapa 18</t>
  </si>
  <si>
    <t>19.2.3</t>
  </si>
  <si>
    <t>150630 IOPES</t>
  </si>
  <si>
    <t>Caixa de passagem 4x4", chapa 18</t>
  </si>
  <si>
    <t>19.2.4</t>
  </si>
  <si>
    <t>150634 IOPES</t>
  </si>
  <si>
    <t>Caixa de passagem 300x300x120mm, chapa 18, com tampa parafusada</t>
  </si>
  <si>
    <t>19.2.5</t>
  </si>
  <si>
    <t>09425 ORSE</t>
  </si>
  <si>
    <t>Caixa de passagem para eletricidade em aluminio, dim: 50 x 50 x 15 cm</t>
  </si>
  <si>
    <t>19.3</t>
  </si>
  <si>
    <t>ELETRODUTOS E CONEXÕES</t>
  </si>
  <si>
    <t>19.3.1</t>
  </si>
  <si>
    <t>151138 IOPES</t>
  </si>
  <si>
    <t>Eletroduto PEAD, cor preta, diam. 1.1/4', marca ref. Kanaflex ou equivalente</t>
  </si>
  <si>
    <t>19.3.2</t>
  </si>
  <si>
    <t>151140 IOPES</t>
  </si>
  <si>
    <t>Eletroduto PEAD, cor preta, diam. 3", marca ref. Kanaflex ou equivalente</t>
  </si>
  <si>
    <t>19.3.3</t>
  </si>
  <si>
    <t>151126 IOPES</t>
  </si>
  <si>
    <t>Eletroduto de PVC rígido roscável, diâm. 3/4" (25mm), inclusive conexões</t>
  </si>
  <si>
    <t>19.3.4</t>
  </si>
  <si>
    <t>151128 IOPES</t>
  </si>
  <si>
    <t>Eletroduto de PVC rígido roscável, diâm. 1 1/4" (40mm), inclusive conexões</t>
  </si>
  <si>
    <t>19.3.5</t>
  </si>
  <si>
    <t>151135 IOPES</t>
  </si>
  <si>
    <t>Eletroduto de PVC rígido roscável, diâm. 4" (110mm), inclusive conexões</t>
  </si>
  <si>
    <t>19.4</t>
  </si>
  <si>
    <t>FIOS E CABOS</t>
  </si>
  <si>
    <t>19.4.1</t>
  </si>
  <si>
    <t>151405 IOPES</t>
  </si>
  <si>
    <t>Fio ou cabo de cobre termoplástico, com isolamento para 750v, seção de 10.0mm²</t>
  </si>
  <si>
    <t>19.4.2</t>
  </si>
  <si>
    <t>151406 IOPES</t>
  </si>
  <si>
    <t>Fio ou cabo de cobre termoplástico, com isolamento para 750v, seção de 16.0mm²</t>
  </si>
  <si>
    <t>19.4.3</t>
  </si>
  <si>
    <t>91924 SINAPI</t>
  </si>
  <si>
    <t>Cabo de cobre flexível isolado, 1,5 mm², anti-chama 450/750 v, para circuitos terminais - fornecimento e instalação. (preto)</t>
  </si>
  <si>
    <t>19.4.4</t>
  </si>
  <si>
    <t>Cabo de cobre flexível isolado, 1,5 mm², anti-chama 450/750 v, para circuitos terminais - fornecimento e instalação. (azul)</t>
  </si>
  <si>
    <t>19.4.5</t>
  </si>
  <si>
    <t>91926 SINAPI</t>
  </si>
  <si>
    <t>Cabo de cobre flexível isolado, 2,5 mm², anti-chama 450/750 v, para circuitos terminais - fornecimento e instalação. (preto)</t>
  </si>
  <si>
    <t>19.4.6</t>
  </si>
  <si>
    <t>Cabo de cobre flexível isolado, 2,5 mm², anti-chama 450/750 v, para circuitos terminais - fornecimento e instalação. (Azul)</t>
  </si>
  <si>
    <t>19.4.7</t>
  </si>
  <si>
    <t>Cabo de cobre flexível isolado, 2,5 mm², anti-chama 450/750 v, para circuitos terminais - fornecimento e instalação. (Branco)</t>
  </si>
  <si>
    <t>19.4.8</t>
  </si>
  <si>
    <t>91928 SINAPI</t>
  </si>
  <si>
    <t>Cabo de cobre flexível isolado, 4 mm², anti-chama 450/750 v, para circuitos terminais - fornecimento e instalação. (Preto)</t>
  </si>
  <si>
    <t>19.4.9</t>
  </si>
  <si>
    <t>Cabo de cobre flexível isolado, 4 mm², anti-chama 450/750 v, para circuitos terminais - fornecimento e instalação. (Branco)</t>
  </si>
  <si>
    <t>19.4.10</t>
  </si>
  <si>
    <t>91930 SINAPI</t>
  </si>
  <si>
    <t>Cabo de cobre flexível isolado, 6 mm², anti-chama 450/750 v, para circuitos terminais - fornecimento e instalação. (Preto)</t>
  </si>
  <si>
    <t>19.4.11</t>
  </si>
  <si>
    <t>Cabo de cobre flexível isolado, 6 mm², anti-chama 450/750 v, para circuitos terminais - fornecimento e instalação. (Azul)</t>
  </si>
  <si>
    <t>19.4.12</t>
  </si>
  <si>
    <t>91932 SINAPI</t>
  </si>
  <si>
    <t>Cabo de cobre flexível isolado, 10 mm², anti-chama 450/750 v, para circuitos terminais - fornecimento e instalação. (Preto)</t>
  </si>
  <si>
    <t>19.4.13</t>
  </si>
  <si>
    <t>Cabo de cobre flexível isolado, 10 mm², anti-chama 450/750 v, para circuitos terminais - fornecimento e instalação. (Azul)</t>
  </si>
  <si>
    <t>19.4.14</t>
  </si>
  <si>
    <t>Cabo de cobre flexível isolado, 2,5 mm², anti-chama 450/750 v, para circuitos terminais - fornecimento e instalação. (Verde/amarelo))</t>
  </si>
  <si>
    <t>19.4.15</t>
  </si>
  <si>
    <t>101565 SINAPI</t>
  </si>
  <si>
    <t>Cabo de cobre flexível isolado, 70 mm², 0,6/1,0 kv, para rede aérea de distribuição de energia elétrica de baixa tensão - fornecimento e instalação. (Preto)</t>
  </si>
  <si>
    <t>19.4.16</t>
  </si>
  <si>
    <t>101562 SINAPI</t>
  </si>
  <si>
    <t>Cabo de cobre flexível isolado, 25 mm², 0,6/1,0 kv, para rede aérea de distribuição de energia elétrica de baixa tensão - fornecimento e instalação. (Verde/amarelo)</t>
  </si>
  <si>
    <t>19.5</t>
  </si>
  <si>
    <t>PADRÃO DE ENTRADA DE ENERGIA - NORTEC-01 - ESCELSA</t>
  </si>
  <si>
    <t>19.5.1</t>
  </si>
  <si>
    <t>151711 IOPES</t>
  </si>
  <si>
    <t>Padrão de entrada de energia elétrica, trifásico, entrada SUBTERRÂNEA, a 4 fios, carga instalada de 57001 até 75000W, instalada em muro</t>
  </si>
  <si>
    <t>19.6</t>
  </si>
  <si>
    <t>PONTOS ELÉTRICOS REVISÃO NR-10</t>
  </si>
  <si>
    <t>19.6.1</t>
  </si>
  <si>
    <t>151819 IOPES</t>
  </si>
  <si>
    <t>Ponto de antena de TV - considerando eletroduto PVC rígido de 3/4" inclusive conexões (3.0m), cabo coaxial 67 Ohms (4.5m) e caixa estampada 4x2" (1 und)</t>
  </si>
  <si>
    <t>19.7</t>
  </si>
  <si>
    <t>LUMINÁRIAS</t>
  </si>
  <si>
    <t>19.7.1</t>
  </si>
  <si>
    <t>COMP.36</t>
  </si>
  <si>
    <t>Luminária Plafon 25w LED Embutir Branco .fornrcimento e instalação</t>
  </si>
  <si>
    <t>19.7.2</t>
  </si>
  <si>
    <t>COMP.37</t>
  </si>
  <si>
    <t>Luminária Plafon 10X120 30w LED Embutir Branco.fornecimento e instalação</t>
  </si>
  <si>
    <t>19.7.3</t>
  </si>
  <si>
    <t>12809 ORSE</t>
  </si>
  <si>
    <t>Lampada led tubular t8 bivolt 9,9/10 w, base g13</t>
  </si>
  <si>
    <t>19.7.4</t>
  </si>
  <si>
    <t>12801 ORSE</t>
  </si>
  <si>
    <t>Lampada led tubular t8 bivolt 18/20 w, base g13</t>
  </si>
  <si>
    <t>19.7.5</t>
  </si>
  <si>
    <t>9955 SETOP</t>
  </si>
  <si>
    <t>Luminária arandela tipo meia-lua completa, diâmetro 25cm, para uma (1) lâmpada led, potência 9w, bulboa60, fornecimento e instalação, inclusive base e lâmpada</t>
  </si>
  <si>
    <t>19.7.6</t>
  </si>
  <si>
    <t>19.8</t>
  </si>
  <si>
    <t>TOMADAS E INTERRUPTORES</t>
  </si>
  <si>
    <t>19.8.1</t>
  </si>
  <si>
    <t>180201 IOPES</t>
  </si>
  <si>
    <t>Tomada padrão brasileiro linha branca, NBR 14136 2 polos + terra 10A/250v, com placa 4*2''</t>
  </si>
  <si>
    <t>19.8.2</t>
  </si>
  <si>
    <t>180204 IOPES</t>
  </si>
  <si>
    <t>Interruptor de uma tecla simples 10A/250V, com placa 4x2"</t>
  </si>
  <si>
    <t>19.8.3</t>
  </si>
  <si>
    <t>180205 IOPES</t>
  </si>
  <si>
    <t>Interruptor de duas teclas simples 10A/250V, com placa 4x2"</t>
  </si>
  <si>
    <t>19.8.4</t>
  </si>
  <si>
    <t>180206 IOPES</t>
  </si>
  <si>
    <t>Interruptor de duas teclas paralelo 10A/250V, com placa 4x2"</t>
  </si>
  <si>
    <t>19.8.5</t>
  </si>
  <si>
    <t>92008 SINAPI</t>
  </si>
  <si>
    <t>Tomada baixa de embutir (2 módulos), 2p+t 10 a, incluindo suporte e placa - fornecimento e instalação.</t>
  </si>
  <si>
    <t>19.8.6</t>
  </si>
  <si>
    <t>92000 SINAPI</t>
  </si>
  <si>
    <t>Tomada baixa de embutir (1 módulo), 2p+t 10 a, incluindo suporte e placa - fornecimento e instalação.</t>
  </si>
  <si>
    <t>19.8.7</t>
  </si>
  <si>
    <t>92001 SINAPI</t>
  </si>
  <si>
    <t>Tomada baixa de embutir (1 módulo), 2p+t 20 a, incluindo suporte e placa - fornecimento e instalação.</t>
  </si>
  <si>
    <t>19.8.8</t>
  </si>
  <si>
    <t>152035 IOPES</t>
  </si>
  <si>
    <t>Conector porcelana 3 polos para cabos de #10,0mm2</t>
  </si>
  <si>
    <t>19.8.9</t>
  </si>
  <si>
    <t>180204IOPES</t>
  </si>
  <si>
    <t>19.8.10</t>
  </si>
  <si>
    <t>19.8.11</t>
  </si>
  <si>
    <t>180212 IOPES</t>
  </si>
  <si>
    <t>Interruptor de três teclas simples 10A/250V, c/ placa 4x2"</t>
  </si>
  <si>
    <t>19.8.12</t>
  </si>
  <si>
    <t>Interruptor de uma tecla paralelo 10A/250V, com placa 4x2"</t>
  </si>
  <si>
    <t>19.8.13</t>
  </si>
  <si>
    <t>180220 IOPES</t>
  </si>
  <si>
    <t>Tomada coaxial 75 ohms para TV</t>
  </si>
  <si>
    <t>19.9</t>
  </si>
  <si>
    <t>CAIXAS,QUADROS E DIJUNTORES.</t>
  </si>
  <si>
    <t>19.9.1</t>
  </si>
  <si>
    <t>151015 IOPES</t>
  </si>
  <si>
    <t>Caixa de inspeção de alvenaria de blocos cerâmicos 10 furos 10x20x20cm dimensões de 30x30x60cm, com revestimento interno em chapisco e reboco, tampa de concreto esp.5cm e lastro de brita 5 cm</t>
  </si>
  <si>
    <t>19.9.2</t>
  </si>
  <si>
    <t>150628 IOPES</t>
  </si>
  <si>
    <t>Caixa de embutir marca de referência Tigreflex, 4x2"</t>
  </si>
  <si>
    <t>19.9.3</t>
  </si>
  <si>
    <t>00711/ORSE</t>
  </si>
  <si>
    <t xml:space="preserve"> Fornecimento e instalação de tampa cega (espelho liso) para caixa 4" x 2"</t>
  </si>
  <si>
    <t>19.9.4</t>
  </si>
  <si>
    <t>101880 SINAPI</t>
  </si>
  <si>
    <t>Quadro de distribuição de energia em chapa de aço galvanizado, de embutir, com barramento trifásico, para 30 disjuntores din 150a - fornecimento e instalação.</t>
  </si>
  <si>
    <t>19.9.5</t>
  </si>
  <si>
    <t>101879 SINAPI</t>
  </si>
  <si>
    <t>Quadro de distribuição de energia em chapa de aço galvanizado, de embutir, com barramento trifásico, para 24 disjuntores din 100a - fornecimento e instalação.</t>
  </si>
  <si>
    <t>19.9.6</t>
  </si>
  <si>
    <t>08635 ORSE</t>
  </si>
  <si>
    <t>Disjuntor termomagnetico monopolar 16 A, padrão DIN (linha branca) curva de disparo B, corrente de interrupção 5KA, ref.: Siemens 5 SX1 ou similar.</t>
  </si>
  <si>
    <t>19.9.7</t>
  </si>
  <si>
    <t>08417 ORSE</t>
  </si>
  <si>
    <t>Disjuntor termomagnetico monopolar 20 A, padrão DIN (Europeu - linha branca), curva C, corrente 5KA</t>
  </si>
  <si>
    <t>19.9.8</t>
  </si>
  <si>
    <t>10315 ORSE</t>
  </si>
  <si>
    <t>Disjuntor termomagnetico monopolar 32 A, padrão DIN (Europeu - linha branca)</t>
  </si>
  <si>
    <t>19.9.9</t>
  </si>
  <si>
    <t>09734 ORSE</t>
  </si>
  <si>
    <t>Disjuntor termomagnetico monopolar 50 A, padrão DIN (Europeu - linha branca)</t>
  </si>
  <si>
    <t>19.9.10</t>
  </si>
  <si>
    <t>07743 ORSE</t>
  </si>
  <si>
    <t>Disjuntor termomagnetico bipolar 20 A, padrão DIN (Europeu - linha branca), curva B</t>
  </si>
  <si>
    <t>19.9.11</t>
  </si>
  <si>
    <t>07994 ORSE</t>
  </si>
  <si>
    <t>Disjuntor termomagnetico bipolar 25 A, padrão DIN (Europeu - linha branca), corrente 5KA</t>
  </si>
  <si>
    <t>19.9.12</t>
  </si>
  <si>
    <t>08420 ORSE</t>
  </si>
  <si>
    <t>Disjuntor termomagnetico tripolar 150 A, padrão DIN (Europeu - linha branca), corrente 10 KA</t>
  </si>
  <si>
    <t>19.9.13</t>
  </si>
  <si>
    <t>07832 ORSE</t>
  </si>
  <si>
    <t>Disjuntor termomagnetico tripolar 300 A, padrão DIN (Europeu - linha branca), 65KA</t>
  </si>
  <si>
    <t>INSTALAÇÕES DE CLIMATIZAÇÃO</t>
  </si>
  <si>
    <t>20.1</t>
  </si>
  <si>
    <t>11785 ORSE</t>
  </si>
  <si>
    <t>Tubulação em cobre Ø 1 1/8", para interligação de condensador/evaporador, inclusive isolamento térmico elastomérico 19mm. multikits, alimentação elétrica, conexões e fixações (infraestrutura p/ sistema de climatização vrv) - fornecimento e instalação</t>
  </si>
  <si>
    <t>20.2</t>
  </si>
  <si>
    <t>11783 ORSE</t>
  </si>
  <si>
    <t>Tubulação em cobre Ø 7/8", para interligação de condensador/evaporador, inclusive isolamento térmico elastomérico 19mm. multikits, alimentação elétrica, conexões e fixações (infraestrutura p/ sistema de climatização vrv) - fornecimento e instalação</t>
  </si>
  <si>
    <t>20.3</t>
  </si>
  <si>
    <t>11781 ORSE</t>
  </si>
  <si>
    <t>Tubulação em cobre Ø 5/8", para interligação de condensador/evaporador, inclusive isolamento térmico elastomérico 19mm. multikits, alimentação elétrica, conexões e fixações (infraestrutura p/ sistema de climatização vrv) - fornecimento e instalação</t>
  </si>
  <si>
    <t>20.4</t>
  </si>
  <si>
    <t>11780 ORSE</t>
  </si>
  <si>
    <t>Tubulação em cobre Ø 1/2", para interligação de condensador/evaporador, inclusive isolamento térmico elastomérico 19mm. multikits, alimentação elétrica, conexões e fixações (infraestrutura p/ sistema de climatização vrv) - fornecimento e instalação</t>
  </si>
  <si>
    <t>20.5</t>
  </si>
  <si>
    <t>11148 ORSE</t>
  </si>
  <si>
    <t>Exaustor para banheiro, bivolt, ref.: C 80 A, da Ventokit ou similar - fornecimento e instalação</t>
  </si>
  <si>
    <t>20.6</t>
  </si>
  <si>
    <t>89580 SINAPI</t>
  </si>
  <si>
    <t>Tubo pvc, série r, água pluvial, dn 150 mm, fornecido e instalado em condutores verticais de águas pluviais. Af_12/2014</t>
  </si>
  <si>
    <t>20.7</t>
  </si>
  <si>
    <t>COMP.13</t>
  </si>
  <si>
    <t>Tê pvc, 150mm.Fornecimento e instalação</t>
  </si>
  <si>
    <t>20.8</t>
  </si>
  <si>
    <t>COMP.38</t>
  </si>
  <si>
    <t>Luva simples,pvc, 150mm.Fornecimento e instalaçao</t>
  </si>
  <si>
    <t>20.9</t>
  </si>
  <si>
    <t>COMP.39</t>
  </si>
  <si>
    <t>Curva de 90°, pvc,150mm.Fornecimento e instalação</t>
  </si>
  <si>
    <t>20.10</t>
  </si>
  <si>
    <t>COMP.15</t>
  </si>
  <si>
    <t>Fornecimento e instalaçao de suporte condensador split 47000 BTU ou similar.</t>
  </si>
  <si>
    <t>20.11</t>
  </si>
  <si>
    <t>COMP.16</t>
  </si>
  <si>
    <t>Fornecimento e instalaçao de suporte condensador split 30000 BTU ou similar.</t>
  </si>
  <si>
    <t>20.12</t>
  </si>
  <si>
    <t>COMP.17</t>
  </si>
  <si>
    <t>Fornecimento e instalaçao de suporte condensador split 18000 BTU ou similar.</t>
  </si>
  <si>
    <t>20.13</t>
  </si>
  <si>
    <t>COMP.18</t>
  </si>
  <si>
    <t>Fornecimento e instalaçao de suporte condensador split 9000 BTU ou similar</t>
  </si>
  <si>
    <t>20.14</t>
  </si>
  <si>
    <t>11402 ORSE</t>
  </si>
  <si>
    <t>Canaleta plástica 30 x 30mm, cinza, Hellerman ou similar</t>
  </si>
  <si>
    <t>20.15</t>
  </si>
  <si>
    <t>COMP.19</t>
  </si>
  <si>
    <t>Fornecimento e instalação de entrada de parede da canaleta p/tubulação de ar condicionado; hellermann/epaac880 ou similar.</t>
  </si>
  <si>
    <t>20.16</t>
  </si>
  <si>
    <t>10280 ORSE</t>
  </si>
  <si>
    <t>Curva vertical para canaleta metálica articulada, da Valemam</t>
  </si>
  <si>
    <t>20.17</t>
  </si>
  <si>
    <t>COMP.14</t>
  </si>
  <si>
    <t xml:space="preserve">Grade de ventilação plastica, pvc, para tubo de 150 mm.Fornecimento e instalação </t>
  </si>
  <si>
    <t>INSTALAÇÃO DE REDE DE MONITORAMENTO</t>
  </si>
  <si>
    <t>21.1</t>
  </si>
  <si>
    <t>CFTV</t>
  </si>
  <si>
    <t>21.1.1</t>
  </si>
  <si>
    <t>COMP.1</t>
  </si>
  <si>
    <t>Fornecimento e instalação de câmera ip ir bullet ref. intelbras/vip 3230 d ou similar</t>
  </si>
  <si>
    <t>21.1.2</t>
  </si>
  <si>
    <t>COMP.2</t>
  </si>
  <si>
    <t>Fornecimento e instalação de câmera ip ir dome intelbras/vip 3230 d ou similar</t>
  </si>
  <si>
    <t>21.1.3</t>
  </si>
  <si>
    <t>COMP.3</t>
  </si>
  <si>
    <t>Fornecimento e instalação de gravado ip 16 canais poe intelbras/nvd 3136 p ou similar</t>
  </si>
  <si>
    <t>21.1.4</t>
  </si>
  <si>
    <t>COMP.4</t>
  </si>
  <si>
    <t>Fornecimento e instalação de cabo de rede indoor blindado cat 6e furukawa ou similar</t>
  </si>
  <si>
    <t>21.1.5</t>
  </si>
  <si>
    <t>7164 ORSE</t>
  </si>
  <si>
    <t>Fornecimento e instalação de conector rj 45 fêmea cat 6 (krone ou similar)</t>
  </si>
  <si>
    <t>21.1.6</t>
  </si>
  <si>
    <t>COMP.5</t>
  </si>
  <si>
    <t>Fornecimento e instalação de rack para gravador</t>
  </si>
  <si>
    <t>21.1.7</t>
  </si>
  <si>
    <t>COMP.7</t>
  </si>
  <si>
    <t>Fornecimento e instalação de cabo hdmi 2.0 amplificado 40m</t>
  </si>
  <si>
    <t>21.1.8</t>
  </si>
  <si>
    <t>COMP.6</t>
  </si>
  <si>
    <t>Fornecimento e instalação monitor 32''</t>
  </si>
  <si>
    <t>21.2</t>
  </si>
  <si>
    <t>SONORIZAÇÃO</t>
  </si>
  <si>
    <t>21.2.1</t>
  </si>
  <si>
    <t>COMP.10</t>
  </si>
  <si>
    <t>Fornecimento e instalação de rack para mesa de som (sonorização)</t>
  </si>
  <si>
    <t>21.3</t>
  </si>
  <si>
    <t>TELEFONIA</t>
  </si>
  <si>
    <t>21.3.1</t>
  </si>
  <si>
    <t>COMP.11</t>
  </si>
  <si>
    <t>Fornecimento e instalação de telefone ip intelbras/tpi 120 i ou similar</t>
  </si>
  <si>
    <t>21.4</t>
  </si>
  <si>
    <t>INFRA</t>
  </si>
  <si>
    <t>21.4.1</t>
  </si>
  <si>
    <t>10726 ORSE</t>
  </si>
  <si>
    <t>Fornecimento e instalação de Switch 24 portas 10/100 mpbs + 2P10-100-1000 BT</t>
  </si>
  <si>
    <t>21.4.2</t>
  </si>
  <si>
    <t>COMP.12</t>
  </si>
  <si>
    <t>21.4.3</t>
  </si>
  <si>
    <t>07164 ORSE</t>
  </si>
  <si>
    <t>21.4.4</t>
  </si>
  <si>
    <t>08493 ORSE</t>
  </si>
  <si>
    <t>Fornecimento e instalação de rack de piso 19" x 16u x 570mm (gabinete) inclusive acessórios</t>
  </si>
  <si>
    <t>INSTALAÇÃO DE GÁS</t>
  </si>
  <si>
    <t>22.1</t>
  </si>
  <si>
    <t>160208 IOPES</t>
  </si>
  <si>
    <t>Abrigo de gás para 4 cilindros 45Kg , exec. em alv bloco concreto, dim. 4.05 x 0,85 x 2.10m, inclusive cilindros e rede interna do abrigo compreendendo tubos e válvulas de esfera que interligam os cilindros</t>
  </si>
  <si>
    <t>SISTEMA DE PROTEÇÃO CONTRA DESCARGAS ATMOSFÉRICAS (SPDA)</t>
  </si>
  <si>
    <t>23.1</t>
  </si>
  <si>
    <t>160303 IOPES</t>
  </si>
  <si>
    <t>Aterramento com haste terra 5/8" x 2.40, cabo de cobre nu 6mm2, inclusive caixa de concreto 30 x 30 cm</t>
  </si>
  <si>
    <t>23.2</t>
  </si>
  <si>
    <t>160304 IOPES</t>
  </si>
  <si>
    <t>Pára-raios tipo franklim incluindo base de fixação, conjunto de contraventagem c/abraçadeira p/3 estais em tubo e demais acessórios c/exceção do cabo de cobre de descida e suportes isoladores</t>
  </si>
  <si>
    <t>23.3</t>
  </si>
  <si>
    <t>160305 IOPES</t>
  </si>
  <si>
    <t>Condutor de cobre nú, seção de 35mm², inclusive suportes isoladores e acessórios de fixação, conforme projeto</t>
  </si>
  <si>
    <t>m</t>
  </si>
  <si>
    <t>23.4</t>
  </si>
  <si>
    <t>160324 IOPES</t>
  </si>
  <si>
    <t>Caixa de qualização de potenciais para uso interno e externo com cinco(5) terminais para aterramento (BEP),  em polipropileno, ref. TEL-902, marca de referência termotécnica ou equivalente</t>
  </si>
  <si>
    <t>23.5</t>
  </si>
  <si>
    <t>160333 IOPES</t>
  </si>
  <si>
    <t>Cabo de cobre nú 50 mm2, ref. TEL-5750, marca de referência Termotécnica ou equivalente, inclusive abertura e fechamento de vala para cabo dimensões 50x20cm</t>
  </si>
  <si>
    <t>23.6</t>
  </si>
  <si>
    <t>97882 SINAPI</t>
  </si>
  <si>
    <t>Caixa enterrada elétrica retangular, em concreto pré-moldado, fundo com brita, dimensões internas: 0,4X0,4X0,4 M. AF_05/2018</t>
  </si>
  <si>
    <t>23.7</t>
  </si>
  <si>
    <t>12740 ORSE</t>
  </si>
  <si>
    <t>Barra de aluminio 7/8" x 1/8" ,inclusive fornecimento e instalação</t>
  </si>
  <si>
    <t>23.8</t>
  </si>
  <si>
    <t>09051 ORSE</t>
  </si>
  <si>
    <t>Caixa de equalização p/aterramento 20x20x10cm de sobrepor p/11 terminais de pressão c/barramento</t>
  </si>
  <si>
    <t>23.9</t>
  </si>
  <si>
    <t>160311 IOPES</t>
  </si>
  <si>
    <t>Haste de terra tipo COPPERWELD - 5/8" x 2.40m</t>
  </si>
  <si>
    <t>23.10</t>
  </si>
  <si>
    <t>160309 IOPES</t>
  </si>
  <si>
    <t>Terminal aéreo em latão (captor), com conector e fixação horizontal 5/16"x250mm, ref. TEL-024, inclusive vedação dos furos com poliuretano ref. TEL 5905, marca de ref. Termotécnica ou equivalente</t>
  </si>
  <si>
    <t>23.11</t>
  </si>
  <si>
    <t>160312 IOPES</t>
  </si>
  <si>
    <t>Kit completo para solda Exotérmica (Molde HCL 5/8" Ref: TEL905611 / Cartucho n° 115 Ref: TEL 909115 / Alicate Z 201 Ref: TEL 998201), marca de referência Termotécnica ou equivalente</t>
  </si>
  <si>
    <t>23.12</t>
  </si>
  <si>
    <t>COMP.29</t>
  </si>
  <si>
    <t>Fornecimento e instalaçao conector tipo "x" para cruzamento de barra de alumínio.</t>
  </si>
  <si>
    <t>23.13</t>
  </si>
  <si>
    <t>08795 ORSE</t>
  </si>
  <si>
    <t>Terminal aéreo em aço galvanizado 3/8" x 50cm, com fixação horizontal.</t>
  </si>
  <si>
    <t>23.14</t>
  </si>
  <si>
    <t>COMP.30</t>
  </si>
  <si>
    <t>Fornecimento e instalação parafuso sextavado rosca soberba m6x45mm com bucha de nylon m6.</t>
  </si>
  <si>
    <t>23.15</t>
  </si>
  <si>
    <t>10425 ORSE</t>
  </si>
  <si>
    <t>Conector split - bolt para cabo de cobre nu #50 mm2 - fornecimento e instalação.</t>
  </si>
  <si>
    <t>23.16</t>
  </si>
  <si>
    <t>11862 ORSE</t>
  </si>
  <si>
    <t>Suporte em barra chata de ferro 7/8" x 1/4", tipo U, h = 0,33m, comp = 1,00m.</t>
  </si>
  <si>
    <t>23.17</t>
  </si>
  <si>
    <t>09831 ORSE</t>
  </si>
  <si>
    <t>Parafuso cabeça sextavada 1/4" x 1" (fornecimento e colocação)</t>
  </si>
  <si>
    <t>SERVIÇOS COMPLEMENTARES</t>
  </si>
  <si>
    <t>24.1</t>
  </si>
  <si>
    <t>GERAL</t>
  </si>
  <si>
    <t>24.2</t>
  </si>
  <si>
    <t>50574 SETOP</t>
  </si>
  <si>
    <t>Aplicação de faixa/fita adesiva antiderrapante, largura 50mm, em degraus de escada, inclusive fornecimento</t>
  </si>
  <si>
    <t>24.3</t>
  </si>
  <si>
    <t>120208 IOPES</t>
  </si>
  <si>
    <t>Acabamento de alumínio com perfil de canto para arremate das paredes (cantoneira)</t>
  </si>
  <si>
    <t>24.4</t>
  </si>
  <si>
    <t>250612 SEDOP</t>
  </si>
  <si>
    <t>Perfil em aluminio - U (1,0x3,50x1,0cm) (rodameios)</t>
  </si>
  <si>
    <t>24.5</t>
  </si>
  <si>
    <t>210304 IOPES</t>
  </si>
  <si>
    <t>Banco de concreto armado aparente Fck=15 MPa, com apoios de concreto, largura de 45cm, espessura de 7cm e altura de 45cm</t>
  </si>
  <si>
    <t>24.6</t>
  </si>
  <si>
    <t>130317 IOPES</t>
  </si>
  <si>
    <t>Peitoril de granito cinza polido, 15 cm, esp. 3cm (esquadrias, pingadeira muro, platibanda) (ou equiv.)</t>
  </si>
  <si>
    <t>24.7</t>
  </si>
  <si>
    <t>200326 IOPES</t>
  </si>
  <si>
    <t>Fornecimento e plantio de grama em placas tipo esmeralda, inclusive fornecimento de terra vegetal (conforme projeto)</t>
  </si>
  <si>
    <t>24.8</t>
  </si>
  <si>
    <t>98511 SINAPI</t>
  </si>
  <si>
    <t>Plantio de árvore ornamental com altura de muda maior que 2,00 m  e menor ou igual a 4,00 m .Af_05/2018</t>
  </si>
  <si>
    <t>24.9</t>
  </si>
  <si>
    <t>200513 IOPES</t>
  </si>
  <si>
    <t>Escada tipo marinheiro de tubo de ferro 1" e 3/4", com h=4.20m, para acesso a caixa dágua, inclusive pintura em esmalte sintético, conforme detalhe em projeto</t>
  </si>
  <si>
    <t>24.10</t>
  </si>
  <si>
    <t>24.11</t>
  </si>
  <si>
    <t>08445 ORSE</t>
  </si>
  <si>
    <t>Coifa em aço inox com filtro 120x70x25cm, Multinox ou similar</t>
  </si>
  <si>
    <t>24.12</t>
  </si>
  <si>
    <t>COMP. 42</t>
  </si>
  <si>
    <t>Duto P/ Coifa Exaustor Alumínio Flexível 150mm com 3 metros.Fornecimento e instalação</t>
  </si>
  <si>
    <t>24.13</t>
  </si>
  <si>
    <t>12045 ORSE</t>
  </si>
  <si>
    <t>Letra em aço inox escovado/polido 40 x 40cm - instalado</t>
  </si>
  <si>
    <t>24.14</t>
  </si>
  <si>
    <t>COMP. 43</t>
  </si>
  <si>
    <t>Madeiramento em garapa/madeira de lei, peça serrada 15cm x 15cm  (pergolado conforme projeto)</t>
  </si>
  <si>
    <t>24.15</t>
  </si>
  <si>
    <t>102233 SINAPI</t>
  </si>
  <si>
    <t>Pintura imunizante para madeira, 1 demão com cupinicida incolor.Af_01/2021</t>
  </si>
  <si>
    <t>24.16</t>
  </si>
  <si>
    <t>95547 SINAPI</t>
  </si>
  <si>
    <t>Saboneteira plástica tipo dispenser para sabonete líquido com reservatorio 800 a 1500 ml, incluso fixação. Af_01/2020</t>
  </si>
  <si>
    <t>24.17</t>
  </si>
  <si>
    <t>12208 ORSE</t>
  </si>
  <si>
    <t>Porta papel toalha para papel interfolha 2 ou 3 dobras, injetado com a frente em plástico ABS branco, com visor frontal para controle de substituição do papel interfolha e fundo em Plástico ABS cinza.</t>
  </si>
  <si>
    <t>24.18</t>
  </si>
  <si>
    <t>95544 SINAPI</t>
  </si>
  <si>
    <t>Papeleira de parede em metal cromado sem tampa, incluso fixação. Af_01/2020</t>
  </si>
  <si>
    <t>24.19</t>
  </si>
  <si>
    <t>61356 SEDOP</t>
  </si>
  <si>
    <t>Divisória de MDF c/ laminado</t>
  </si>
  <si>
    <t>24.20</t>
  </si>
  <si>
    <t>200573 IOPES</t>
  </si>
  <si>
    <t>Bicicletário em tubo de ferro galvanizado 1" e ferro liso 1/2", inclusive pintura, conforme projeto padrão SEDU</t>
  </si>
  <si>
    <t>ESQUADRIAS, PORTÕES E GRADIS METÁLICOS</t>
  </si>
  <si>
    <t>25.1</t>
  </si>
  <si>
    <t>12628 ORSE</t>
  </si>
  <si>
    <t>Mastro triplo em tubo ferro galvanizado, alt (útil)= 6m (3,80m x 2" + 2,20m x 1 1/2"), inclusive base de concreto ciclópico</t>
  </si>
  <si>
    <t>25.2</t>
  </si>
  <si>
    <t>Grade de tela tipo mosquiteiro de arame galvanizado #18, fio 32, inclusive, requadro em cantoneira de ferro 1/8"x1/2"x1/2"</t>
  </si>
  <si>
    <t>25.3</t>
  </si>
  <si>
    <t>200130 IOPES</t>
  </si>
  <si>
    <t>Gradil H = 1.90m padrão SEDU em tudo de FG 2" e barra chata de 11/2"x1/4", para fixação sobre mureta conforme projeto, exclusive a mureta.</t>
  </si>
  <si>
    <t>SERVIÇOS FINAIS</t>
  </si>
  <si>
    <t>26.1</t>
  </si>
  <si>
    <t>200401 IOPES</t>
  </si>
  <si>
    <t>Limpeza geral da obra (edificação)</t>
  </si>
  <si>
    <t>26.2</t>
  </si>
  <si>
    <t>200576 IOPES</t>
  </si>
  <si>
    <t>Placa para inauguração de obra em alumínio polido e=4mm, dimensões 40 x 50 cm, gravação em baixo relevo, inclusive pintura e fixação</t>
  </si>
  <si>
    <t>ADMINISTRAÇÃO LOCAL</t>
  </si>
  <si>
    <t>R$ SEM ADM</t>
  </si>
  <si>
    <t>27.1</t>
  </si>
  <si>
    <t>COMP.35</t>
  </si>
  <si>
    <t>Administração Local OBS.: A taxa de Administração Local será paga PROPORCIONALMENTE ao andamento da obra.</t>
  </si>
  <si>
    <t>TX</t>
  </si>
  <si>
    <t>VALOR TOTAL:</t>
  </si>
  <si>
    <t>WILLIAM GARCIA MENDONÇA</t>
  </si>
  <si>
    <t>DIVANDILSON FERREIRA DOS SANTOS</t>
  </si>
  <si>
    <t>SUPERVISOR - SEMOP</t>
  </si>
  <si>
    <t>SECRETÁRIO DE OBRAS - SEMOP</t>
  </si>
  <si>
    <t>MATR.: 26639-2</t>
  </si>
  <si>
    <t>DECRETO Nº.: 305/2020</t>
  </si>
  <si>
    <t>ASSINATURA: _____________</t>
  </si>
  <si>
    <t>ASSINATURA:_________________</t>
  </si>
  <si>
    <t xml:space="preserve">CRONOGRAMA FÍSICO - FINANCEIRO </t>
  </si>
  <si>
    <t>ATIVIDADE</t>
  </si>
  <si>
    <t>CUSTO TOTAL</t>
  </si>
  <si>
    <t>1º Mês</t>
  </si>
  <si>
    <t>2º Mês</t>
  </si>
  <si>
    <t>3º Mês</t>
  </si>
  <si>
    <t>4º Mês</t>
  </si>
  <si>
    <t>5º Mês</t>
  </si>
  <si>
    <t>6º Mês</t>
  </si>
  <si>
    <t>7º Mês</t>
  </si>
  <si>
    <t>8º Mês</t>
  </si>
  <si>
    <t>9º Mês</t>
  </si>
  <si>
    <t>10º Mês</t>
  </si>
  <si>
    <t>11º Mês</t>
  </si>
  <si>
    <t>12º Mês</t>
  </si>
  <si>
    <t>_____________</t>
  </si>
  <si>
    <t>PINTURA E ACABAMENTOS</t>
  </si>
  <si>
    <t>INSTALAÇÃO ELÉTRICA</t>
  </si>
  <si>
    <t>INSTALAÇÕES DE MONITORAMENTO</t>
  </si>
  <si>
    <t>SERVIÇOS  COMPLEMENTARES</t>
  </si>
  <si>
    <t>OBS.: A taxa de Administração Local será paga PROPORCIONALMENTE ao andamento da obra.</t>
  </si>
  <si>
    <t>TOTAIS</t>
  </si>
  <si>
    <t>TOTAL GERAL</t>
  </si>
  <si>
    <t>TOTAL SIMPLES</t>
  </si>
  <si>
    <t>PORCENTAGEM SIMPLES</t>
  </si>
  <si>
    <t>TOTAL ACUMULADO</t>
  </si>
  <si>
    <t>PORCENTAGEM ACUMULADA</t>
  </si>
  <si>
    <t>SECRETARIA MUNICIPAL DE OBRAS PÚBLICAS</t>
  </si>
  <si>
    <t>SUPERVISÃO</t>
  </si>
  <si>
    <t>SECRETÁRIO MUNICIPAL</t>
  </si>
  <si>
    <t>ASSINATURA:</t>
  </si>
  <si>
    <t>LISTA DE MATERIAL CFTV</t>
  </si>
  <si>
    <t>COMP-01 FORNECIMENTO E INSTALAÇAO DE CAMERA IP IR BULLET REF. INTELBRAS/VIP 3230 D  OU SIMILAR</t>
  </si>
  <si>
    <t>UND:  UND</t>
  </si>
  <si>
    <t>BASE :ORSE 11520</t>
  </si>
  <si>
    <t>Levantamento de preços de mercado - Data: 16/04/2021</t>
  </si>
  <si>
    <t>Estabelecimento</t>
  </si>
  <si>
    <t>Contato</t>
  </si>
  <si>
    <t>Unid</t>
  </si>
  <si>
    <t>Pr. Unit.</t>
  </si>
  <si>
    <t>Monitora - Alarmes e Câmeras - Guarapari ES</t>
  </si>
  <si>
    <t>27 996516462</t>
  </si>
  <si>
    <t>Crissom segur. Eletrronica - Guarapari ES</t>
  </si>
  <si>
    <t>27 33611105</t>
  </si>
  <si>
    <t>lojas americanas - Guarapari ES</t>
  </si>
  <si>
    <t>27 988859614</t>
  </si>
  <si>
    <t>Pr.Unit</t>
  </si>
  <si>
    <t>MÃO DE OBRA</t>
  </si>
  <si>
    <t>Código</t>
  </si>
  <si>
    <t>Coefic.</t>
  </si>
  <si>
    <t>C. Prod.</t>
  </si>
  <si>
    <t>Pr. Prod.</t>
  </si>
  <si>
    <t>Pr. Improd.</t>
  </si>
  <si>
    <t>Fator Ac.</t>
  </si>
  <si>
    <t xml:space="preserve"> Técnico </t>
  </si>
  <si>
    <t>H</t>
  </si>
  <si>
    <t>SubTotal:</t>
  </si>
  <si>
    <t>MATERIAL</t>
  </si>
  <si>
    <t>Camera ip ir Ibullet ( intelbras/vip 3230 D)</t>
  </si>
  <si>
    <t>UN</t>
  </si>
  <si>
    <t>Mercado</t>
  </si>
  <si>
    <t>RESUMO</t>
  </si>
  <si>
    <t>DISCRIMINAÇÃO</t>
  </si>
  <si>
    <t>TAXA(%)</t>
  </si>
  <si>
    <t>VALORES</t>
  </si>
  <si>
    <t>Mão-de-Obra(A)</t>
  </si>
  <si>
    <t>Materiais(B)</t>
  </si>
  <si>
    <t>Equipamentos(C)</t>
  </si>
  <si>
    <t>Produção da Equipe(D)</t>
  </si>
  <si>
    <t>Custo Horário Total(A+C)</t>
  </si>
  <si>
    <t>Custo Unitário da Execução[(A/D)+(C/D)] = E</t>
  </si>
  <si>
    <t>Custo Direto Total(B+E)</t>
  </si>
  <si>
    <t>Bonificações e Despesas Indiretas - BDI</t>
  </si>
  <si>
    <t>CUSTO UNITÁRIO (Adotado)</t>
  </si>
  <si>
    <t>COMP-02 FORNECIMENTO E  INSTALAÇAO DE CAMERA IP IR DOME INTELBRAS/VIP 3230 D OU SIMILAR (CFTV)</t>
  </si>
  <si>
    <t xml:space="preserve"> Técnico  </t>
  </si>
  <si>
    <t>CAMERA IP IR DOME (INTELBRAS/VIP3230 D)</t>
  </si>
  <si>
    <t>COMP-03 FORNECIMENTO E  INSTALAÇAO DE GRAVADO IP 16 CANAIS POE INTELBRAS/NVD 3136 P OU SIMILAR (CFTV)</t>
  </si>
  <si>
    <t>Atm.seg - Guarapari ES</t>
  </si>
  <si>
    <t>27 3367065</t>
  </si>
  <si>
    <t>Subtotal</t>
  </si>
  <si>
    <t xml:space="preserve"> Técnico</t>
  </si>
  <si>
    <t>Gravado ip 16 canais poe (intelbras/nvd3116 p)</t>
  </si>
  <si>
    <t>-</t>
  </si>
  <si>
    <t>COMP-04  FORNECIMENTO E INSTALAÇAO DE CABO DE REDE INDOOR BLINDADO CAT 6E FURUKAWA OU SIMILAR (CFTV)</t>
  </si>
  <si>
    <t>UND: M</t>
  </si>
  <si>
    <t>BASE :IOPES 160808</t>
  </si>
  <si>
    <t>Pastore - Guarapari ES</t>
  </si>
  <si>
    <t>27 32623280</t>
  </si>
  <si>
    <t xml:space="preserve">AJUDANTE  PRATICO </t>
  </si>
  <si>
    <t>ELETRICISTA OFICIAL</t>
  </si>
  <si>
    <t>INSTALAÇAO DE CABO DE REDE INDOOR BLINDADO CAT 6E</t>
  </si>
  <si>
    <t>COMP-05   FORNECIMENTO E INSTALAÇAO DE RACK PARA GRAVDOR (CFTV)</t>
  </si>
  <si>
    <t>UND:UND</t>
  </si>
  <si>
    <t>Atm. Seg - Guarapari  ES</t>
  </si>
  <si>
    <t>27 32627065</t>
  </si>
  <si>
    <t>tecnico</t>
  </si>
  <si>
    <t>Rack para gravador</t>
  </si>
  <si>
    <t>COMP-06 FORNECIMENTO E INSTALAÇAO MONITOR 32'' (CFTV)</t>
  </si>
  <si>
    <t>Tecnico</t>
  </si>
  <si>
    <t>Monitor 32''</t>
  </si>
  <si>
    <t>COMP-07 FORNECIMENTO E INSTALAÇAO DE CABO HDMI 2.0 AMPLIFICADO 40M (CFTV)</t>
  </si>
  <si>
    <t>Atm.seg. - Guarapari ES</t>
  </si>
  <si>
    <t>Cabo hdmi 2.0 amplificado 40m</t>
  </si>
  <si>
    <t>LISTA DE MATERIAL-SONORIZAÇAO</t>
  </si>
  <si>
    <t>COMP-10 FORNECIMENTO E INSTALAÇAO DE RACK PARA MESA DE SOM (SONORIZAÇAO)</t>
  </si>
  <si>
    <t>Casas Bahia - Guarapari ES</t>
  </si>
  <si>
    <t>27 32619300</t>
  </si>
  <si>
    <t>Lojas americanas - Guarapari ES</t>
  </si>
  <si>
    <t>Rack para mesa de som</t>
  </si>
  <si>
    <t>LISTA DE MATERIAL-TELEFONIA</t>
  </si>
  <si>
    <t>COMP-11 FORNECIMENTO E INSTALAÇAO DE TELEFONE IP INTELBRAS/TPI 120 i  OU SIMILAR (TELEFONIA)</t>
  </si>
  <si>
    <t>Telefone ip</t>
  </si>
  <si>
    <t>LISTA DE MATERIAL-INFRA</t>
  </si>
  <si>
    <t>COMP-12 FORNECIMENTO E INSTALAÇAO DE CABO DE REDE INDOOR BLINDADO CAT 6E FURUKAWA OU SIMILAR (INFRA)</t>
  </si>
  <si>
    <t>Pastore - Guarapari -ES</t>
  </si>
  <si>
    <t>Ajudante prático</t>
  </si>
  <si>
    <t>Eletricista oficial</t>
  </si>
  <si>
    <t>Instalação de cabo de rede indoor blindado cat 6e</t>
  </si>
  <si>
    <t>LISTA DE MATERIAL-CLIMATIZAÇAO</t>
  </si>
  <si>
    <t>COMP.13 - Tê pvc, 150mm.Fornecimento e instalação</t>
  </si>
  <si>
    <t>UND: und</t>
  </si>
  <si>
    <t>BASE : Sinapi 89833</t>
  </si>
  <si>
    <t>TE PVC 150 MM</t>
  </si>
  <si>
    <t>REVEST MATERIAL DE CONSTRUÇAO - Guarapari ES</t>
  </si>
  <si>
    <t>27 30300580</t>
  </si>
  <si>
    <t>JB MATERIAL DE CONSTRUÇAO - Guarapari ES</t>
  </si>
  <si>
    <t>27 33613102</t>
  </si>
  <si>
    <t>DISMAGUA MAT.DE CONSTRUÇÃO - Guarapari ES</t>
  </si>
  <si>
    <t>27 33618100</t>
  </si>
  <si>
    <t>Auxiliar de encanador</t>
  </si>
  <si>
    <t>Encanador</t>
  </si>
  <si>
    <t xml:space="preserve">COMP.14 - Grade de ventilação plastica, pvc, para tubo de 150 mm.Fornecimento e instalação </t>
  </si>
  <si>
    <t>BASE :IOPES 142111</t>
  </si>
  <si>
    <t>AJUDANTE PRATICO</t>
  </si>
  <si>
    <t>ENCANADOR</t>
  </si>
  <si>
    <t>GRADE DE PROTEÇAO PLASTICO,PVC PARA TUBO 150 MM</t>
  </si>
  <si>
    <t>COMP-15 FORNECIMENTO E INSTALAÇAO DE SUPORTE CONDENSADOR 47000 BTU SPLIT OU SIMILAR</t>
  </si>
  <si>
    <t>BASE :IOPES 150883</t>
  </si>
  <si>
    <t>Suporte condens.split 47000 BTU</t>
  </si>
  <si>
    <t>Guarapari Ar Condicionado LTDA - Guarapari ES</t>
  </si>
  <si>
    <t>27 33627772</t>
  </si>
  <si>
    <t>MaisFrio Climatização - Guarapari ES</t>
  </si>
  <si>
    <t>27 998563873</t>
  </si>
  <si>
    <t>Refri mais - Guarapari ES</t>
  </si>
  <si>
    <t>27 30308770</t>
  </si>
  <si>
    <t>ELETRICISTA</t>
  </si>
  <si>
    <t xml:space="preserve"> SUPORTE CONDENSADORA SPLIT 47000 BTU</t>
  </si>
  <si>
    <t>Sub-Total</t>
  </si>
  <si>
    <t>COMP-16 FORNECIMENTO E INSTALAÇAO DE SUPORTE CONDENSADOR SPLIT 30000 BTU OU SIMILAR</t>
  </si>
  <si>
    <t>Levantamento de preços de mercado - Data:16/04/2021</t>
  </si>
  <si>
    <t>Suporte condens.split 30000 BTU</t>
  </si>
  <si>
    <t xml:space="preserve"> SUPORTE CONDENSADORA SPLIT 30000 BTU</t>
  </si>
  <si>
    <t>COMP-17 FORNECIMENTO E INSTALAÇAO DE SUPORTE CONDENSADOR SPLIT 18000 BTU OU SIMILAR</t>
  </si>
  <si>
    <t>Suporte condens.split 18000 BTU</t>
  </si>
  <si>
    <t xml:space="preserve"> SUPORTE CONDENSADORA SPLIT 18000 BTU</t>
  </si>
  <si>
    <t>COMP-18  FORNECIMENTO E INSTALAÇAO DE SUPORTE CONDENSADOR SPLIT  9000 OU SIMILAR</t>
  </si>
  <si>
    <t>Suporte condens.split 9000 BTU</t>
  </si>
  <si>
    <t xml:space="preserve"> SUPORTE CONDENSADORA SPLIT 9000 BTU</t>
  </si>
  <si>
    <t>COMP-19 FORNECIMENTO E INSTALAÇAO DE ENTRADA DE PAREDE DA CANALETA P/TUBULAÇAO DE AR CONDICIONADO; HELLERMANN/EPAAC880 OU SIMILAR</t>
  </si>
  <si>
    <t>BASE :IOPES 150807</t>
  </si>
  <si>
    <t>ENTR.DE PAREDE DA CANALETA P/TUBULAÇAO DE AR CONDICIONADO</t>
  </si>
  <si>
    <t>LISTA DE MATERIAL-PREV . E COMBATE AO INCENDIO</t>
  </si>
  <si>
    <t>COMP-20 FORNECIMENTO E INSTALAÇAO  BOMBA DE INCENDIO 4CV</t>
  </si>
  <si>
    <t>BASE :ORSE 11173</t>
  </si>
  <si>
    <t>Realmak - Guarapari ES</t>
  </si>
  <si>
    <t>27 33616111</t>
  </si>
  <si>
    <t>Ricieri maquinas e ferramentas - Guarapari ES</t>
  </si>
  <si>
    <t>27 32616161</t>
  </si>
  <si>
    <t>Guarapari Extintores Ltda - Guarapari ES</t>
  </si>
  <si>
    <t>27 32610687</t>
  </si>
  <si>
    <t>88264 sinap</t>
  </si>
  <si>
    <t>ENCANADOR OU BOMBEIRO HIDRAULICO</t>
  </si>
  <si>
    <t>88267 sinap</t>
  </si>
  <si>
    <t>SERVENTE DE OBRAS</t>
  </si>
  <si>
    <t>88316 sinap</t>
  </si>
  <si>
    <t>BOMBA DE INCENDIO 4CV</t>
  </si>
  <si>
    <t>COMP-21 FORNECIMENTO E INSTALAÇAO TÊ DE REDUÇAO 85 mm x 65mm</t>
  </si>
  <si>
    <t>BASE :SINAPI 97530</t>
  </si>
  <si>
    <t>Realmak</t>
  </si>
  <si>
    <t>Ricieri maquinas e ferramentas</t>
  </si>
  <si>
    <t>Guarapari Extintores Ltda</t>
  </si>
  <si>
    <t>AUXILIAR ENCANADO</t>
  </si>
  <si>
    <t>TÊ DE REDUÇAO 85 mm x 65mm</t>
  </si>
  <si>
    <t>LISTA DE MATERIAL-INSTALAÇOES ELETRICA</t>
  </si>
  <si>
    <t>COMP-25 FORNECIMENTO E INSTALAÇAO DE ELETRODUTO RIGIDO DE PVC 3/4" 3m</t>
  </si>
  <si>
    <t>BASE : SINAPI  91867</t>
  </si>
  <si>
    <t>Eletroduto rigido de pvc 3/4" 3m</t>
  </si>
  <si>
    <t>Curva não metalica eletroduto rigido 90° pvc preta c/rosca 3/4"</t>
  </si>
  <si>
    <t>Luva não metalica eletroduto pvc preta com rosca 3/4"</t>
  </si>
  <si>
    <t>Arruela metalica para eletroduto de aluminio redonda 3/4"</t>
  </si>
  <si>
    <t>DG Material eletrico - Guarapari ES</t>
  </si>
  <si>
    <t>27 33612911</t>
  </si>
  <si>
    <t>Centro eletrico - Guarapari ES</t>
  </si>
  <si>
    <t>27 32628526</t>
  </si>
  <si>
    <t>Pastore material eletrico - Guarapari ES</t>
  </si>
  <si>
    <t>AUXILIAR DE ELETRICISTA</t>
  </si>
  <si>
    <t xml:space="preserve">ELETRICISTA </t>
  </si>
  <si>
    <t>ELETRODUTO RIGIDO DE  PVC 3/4" 3m</t>
  </si>
  <si>
    <t>CURVA NÃO METALICA ELETRODUTO RIGIDO  90° PVC PRETA COM ROSCA 3/4"</t>
  </si>
  <si>
    <t>LUVA NÃO METALICA ELETRODUTO   PVC PRETA COM ROSCA 3/4"</t>
  </si>
  <si>
    <t>ARRUELA METALICA PARA ELETRODUTO DE ALUMINIO REDONDA 3/4"</t>
  </si>
  <si>
    <t>COMP-29 FORNECIMENTO E INSTALAÇAO CONECTOR TIPO "X" PARA CRUZAMENTO DE BARRA DE ALUMINIO</t>
  </si>
  <si>
    <t>BASE : ORSE 7923</t>
  </si>
  <si>
    <t xml:space="preserve">CONECTOR TIPO "X" </t>
  </si>
  <si>
    <t>COMP-30 FORNECIMENTO E INSTALAÇAO, PARAFUSO SEXTAVADO ROSCA SOBERBA M6X45mm COM BUCHA DE NYLON M6.</t>
  </si>
  <si>
    <t>BASE : ORSE 9831</t>
  </si>
  <si>
    <t>Parafuso sextavado rosca soberba m6x45mm</t>
  </si>
  <si>
    <t>Bucha de nylon m6</t>
  </si>
  <si>
    <t>PARAFUSO SEXTAVADO ROSCA SOBERBA M6X45mm</t>
  </si>
  <si>
    <t>BUCHA DE NYLON</t>
  </si>
  <si>
    <t>Sub.Total</t>
  </si>
  <si>
    <t>LISTA DE MATERIAL-INSTALAÇOES HIDROSSANITARIAS</t>
  </si>
  <si>
    <t>COMP-33 FORNECIMENTO E INSTALAÇAO CURVA DE 90° CURTA DE 100MM E  40MM.</t>
  </si>
  <si>
    <t/>
  </si>
  <si>
    <t>BASE : SINAP 89810</t>
  </si>
  <si>
    <t>Curva 90° curta 100mm.</t>
  </si>
  <si>
    <t>Revest,mat.de constr. - Guarapari ES</t>
  </si>
  <si>
    <t>JB.mat. De constr. - Guarapari ES</t>
  </si>
  <si>
    <t>Dismagua mat. De constr.- Guarapari ES</t>
  </si>
  <si>
    <t xml:space="preserve"> AUXILIAR DE ENCANADOR</t>
  </si>
  <si>
    <t xml:space="preserve"> ENCANADOR OU BOMBEIRO</t>
  </si>
  <si>
    <t>CURVA 90° CURTA 100MM</t>
  </si>
  <si>
    <t>COMP-34 FORNECIMENTO E INSTALAÇAO CURVA DE 90° CURTA DE 40MM.</t>
  </si>
  <si>
    <t>CURVA 90° CURTA 40MM</t>
  </si>
  <si>
    <t>Comp. 35 – Administração Local</t>
  </si>
  <si>
    <r>
      <rPr>
        <sz val="12"/>
        <color rgb="FF000000"/>
        <rFont val="Arial"/>
        <charset val="134"/>
      </rPr>
      <t xml:space="preserve">Base: </t>
    </r>
    <r>
      <rPr>
        <sz val="12"/>
        <color rgb="FF000000"/>
        <rFont val="Arial"/>
        <charset val="134"/>
      </rPr>
      <t>IOPES</t>
    </r>
  </si>
  <si>
    <t>Unid.</t>
  </si>
  <si>
    <t>Valor</t>
  </si>
  <si>
    <t>Quant.</t>
  </si>
  <si>
    <t>Valor Total</t>
  </si>
  <si>
    <t>Engenheiro Junior (INCL.L SOCIAIS DE 49,11%)</t>
  </si>
  <si>
    <t xml:space="preserve">MS </t>
  </si>
  <si>
    <t>Engenheiro Junior (INCL.L SOCIAIS DE 49,11%) ELÉTRICO</t>
  </si>
  <si>
    <t>Vigia (Leis Sociais = 49,11%)</t>
  </si>
  <si>
    <t>Encarregado de Turma (Leis Sociais = 49,11%)</t>
  </si>
  <si>
    <t>TOTAL</t>
  </si>
  <si>
    <t>Unidade: tx</t>
  </si>
  <si>
    <t>Valor Contrato sem Administração local</t>
  </si>
  <si>
    <t>Verificação</t>
  </si>
  <si>
    <t>Deve ser &lt; 5%</t>
  </si>
  <si>
    <t>Comp. 36-  Luminária Plafon 25w LED Embutir Branco .fornrcimento e instalação</t>
  </si>
  <si>
    <t>Unidade: und</t>
  </si>
  <si>
    <t>Base: Orse 12901</t>
  </si>
  <si>
    <t>Servente de obras</t>
  </si>
  <si>
    <t>Eletricista</t>
  </si>
  <si>
    <t xml:space="preserve">Luminária Plafon 25w LED Embutir Branco </t>
  </si>
  <si>
    <t>mercaddo</t>
  </si>
  <si>
    <t>Comp. 37 -  Luminária Plafon 10X120 30w LED Embutir Branco.fornecimento e instalação</t>
  </si>
  <si>
    <t>Levantamento de preços de mercado - Data: 18/03/2021</t>
  </si>
  <si>
    <t>Luminária Plafon 10X120 30w LED Embutir Branco</t>
  </si>
  <si>
    <t>COMP-38 -  Luva simples,pvc, 150mm.Fornecimento e instalaçao</t>
  </si>
  <si>
    <t>LUVA 90° PVC 150MM</t>
  </si>
  <si>
    <t>COMP-39 -  Curva de 90°, pvc,150mm.Fornecimento e instalação</t>
  </si>
  <si>
    <t>CURVA 90° PVC 150MM</t>
  </si>
  <si>
    <t>AJUDANTE (PRATICO)</t>
  </si>
  <si>
    <t>COMP. 40 - Porcelanato polido, Avorio, 60x60, Delta, Biancogres, Eliane, Portobello/equiv, utilizando dupla colagem de argamassa colante para porcelanato tipo ACIII e rejunte 1mm para porcelanato</t>
  </si>
  <si>
    <t>Unidade: M2</t>
  </si>
  <si>
    <t>Base: IOPES</t>
  </si>
  <si>
    <t>LADRILHISTA (LABOR)</t>
  </si>
  <si>
    <t>'010128</t>
  </si>
  <si>
    <t>SERVENTE (LABOR)</t>
  </si>
  <si>
    <t>'010146</t>
  </si>
  <si>
    <t>REJUNTE PORCELANATO QUARTZOLIT (LABOR)</t>
  </si>
  <si>
    <t>'020468</t>
  </si>
  <si>
    <t>ARGAM COLANTE FLEXIVEL AC III P/ ASSENT. PORCELANATO E PEDRAS (GRANITO E MÁRMORE) (LABOR)</t>
  </si>
  <si>
    <t>'020732</t>
  </si>
  <si>
    <t xml:space="preserve">PORCELANATO POLIDO, AVORIO, 60X60, DELTA </t>
  </si>
  <si>
    <t>MERC</t>
  </si>
  <si>
    <t>COMP-41 -  Banheira de embutir em PVC, dimensões 77x45x20cm; Burigotto ou equivalente.Fornecimento e instalação</t>
  </si>
  <si>
    <t>Balãozinho Confecção Infantil - Guarapari ES</t>
  </si>
  <si>
    <t>27 33611335</t>
  </si>
  <si>
    <t>Bambino center - Guarapari ES</t>
  </si>
  <si>
    <t>27 33620451</t>
  </si>
  <si>
    <t>Pedreiro</t>
  </si>
  <si>
    <t>Banheira de embutir em pvc, dimensões 77x45x20cm; Burigotto ou equivalente</t>
  </si>
  <si>
    <t>COMP.42 - Duto P/ Coifa Exaustor Alumínio Flexível 150mm com 3 metros.Fornecimento e instalação</t>
  </si>
  <si>
    <t>BASE : Sinapi 86882</t>
  </si>
  <si>
    <t>VALOR</t>
  </si>
  <si>
    <t>Revest material de construção - Guarapari ES</t>
  </si>
  <si>
    <t>Jb material de construção - Guarapari ES</t>
  </si>
  <si>
    <t>Dismagua mat.de construção - Guarapari ES</t>
  </si>
  <si>
    <t xml:space="preserve"> Duto P/ Coifa Exaustor Alumínio Flexível 150mm</t>
  </si>
  <si>
    <t>COMP.43 - Madeiramento em garapa/madeira de lei, peça serrada 15cm x 15cm</t>
  </si>
  <si>
    <t>UND: m</t>
  </si>
  <si>
    <t>BASE : Orse 04485</t>
  </si>
  <si>
    <t>Levantamento de preços de mercado - Data: 27/04/2021</t>
  </si>
  <si>
    <t>BM Madeiras</t>
  </si>
  <si>
    <t>27 33612425</t>
  </si>
  <si>
    <t>Marion Madeiras Guarapari</t>
  </si>
  <si>
    <t>27 33620096</t>
  </si>
  <si>
    <t>Jatobá Madeiras</t>
  </si>
  <si>
    <t>27 33629856</t>
  </si>
  <si>
    <t>Servente de obras(sinapi)</t>
  </si>
  <si>
    <t>Carpinteiro de formas (sinapi)</t>
  </si>
  <si>
    <t>Madeiramento em garapa/madeira de lei, peça serrada 15cm x 15cm</t>
  </si>
  <si>
    <t>COD.</t>
  </si>
  <si>
    <t>DESCRIÇÃO</t>
  </si>
  <si>
    <t>VALOR TOTAL</t>
  </si>
  <si>
    <t>%</t>
  </si>
  <si>
    <t>% ACUMUL.</t>
  </si>
  <si>
    <t>CLASSE</t>
  </si>
  <si>
    <t>Classe</t>
  </si>
  <si>
    <t>Corte</t>
  </si>
  <si>
    <t>A</t>
  </si>
  <si>
    <t>B</t>
  </si>
  <si>
    <t>C</t>
  </si>
  <si>
    <t>Piso em granito aplicado em ambientes internos. Af_06/2018 (conforme projeto)</t>
  </si>
  <si>
    <t>total:</t>
  </si>
  <si>
    <t>JANELAS</t>
  </si>
  <si>
    <t>C01</t>
  </si>
  <si>
    <t>J01</t>
  </si>
  <si>
    <t>PORTAS</t>
  </si>
  <si>
    <t>J02</t>
  </si>
  <si>
    <t>P2</t>
  </si>
  <si>
    <t>J03</t>
  </si>
  <si>
    <t>P3 E PV3</t>
  </si>
  <si>
    <t>J04</t>
  </si>
  <si>
    <t>P4</t>
  </si>
  <si>
    <t>J05</t>
  </si>
  <si>
    <t>P5</t>
  </si>
  <si>
    <t>C06</t>
  </si>
  <si>
    <t>P6</t>
  </si>
  <si>
    <t>J07</t>
  </si>
  <si>
    <t>P7</t>
  </si>
  <si>
    <t>J08</t>
  </si>
  <si>
    <t>P8</t>
  </si>
  <si>
    <t>J09</t>
  </si>
  <si>
    <t>P9</t>
  </si>
  <si>
    <t>J10</t>
  </si>
  <si>
    <t>J11</t>
  </si>
  <si>
    <t>J12</t>
  </si>
  <si>
    <t>J13</t>
  </si>
  <si>
    <t>Chapisco, Reboco e Gesso</t>
  </si>
  <si>
    <t>DADOS DE ENTRADA</t>
  </si>
  <si>
    <t>CHAPISCO, REBOCO E GESSO</t>
  </si>
  <si>
    <t>DIMENSÕES</t>
  </si>
  <si>
    <t>DESCONTOS</t>
  </si>
  <si>
    <t>PAREDES</t>
  </si>
  <si>
    <t>TETOS</t>
  </si>
  <si>
    <t>Pavimento</t>
  </si>
  <si>
    <t>Ambiente</t>
  </si>
  <si>
    <t>Quantidade</t>
  </si>
  <si>
    <t>Área (m2)</t>
  </si>
  <si>
    <t>Perímetro (m)</t>
  </si>
  <si>
    <t>Pé-direito (m)</t>
  </si>
  <si>
    <t>Parede (m2)</t>
  </si>
  <si>
    <t>Teto (m2)</t>
  </si>
  <si>
    <t>Chapisco</t>
  </si>
  <si>
    <t>Reboco interno</t>
  </si>
  <si>
    <t>Reboco Externo</t>
  </si>
  <si>
    <t>Emboço</t>
  </si>
  <si>
    <t>Tipo Revestimento</t>
  </si>
  <si>
    <t>Térreo</t>
  </si>
  <si>
    <t>Recepção</t>
  </si>
  <si>
    <t>Sim</t>
  </si>
  <si>
    <t>Gesso</t>
  </si>
  <si>
    <t>Secretaria</t>
  </si>
  <si>
    <t>Arquivo</t>
  </si>
  <si>
    <t>Circulação</t>
  </si>
  <si>
    <t>Coordenação</t>
  </si>
  <si>
    <t>Direção</t>
  </si>
  <si>
    <t>Banho</t>
  </si>
  <si>
    <t>Sala de Professores</t>
  </si>
  <si>
    <t>WC PNE Fem</t>
  </si>
  <si>
    <t>WC PNE</t>
  </si>
  <si>
    <t>Portaria</t>
  </si>
  <si>
    <t>WC</t>
  </si>
  <si>
    <t>Refeitório</t>
  </si>
  <si>
    <t>Cozinha</t>
  </si>
  <si>
    <t>Despensa</t>
  </si>
  <si>
    <t>Recebimento</t>
  </si>
  <si>
    <t>Copa Funcionário</t>
  </si>
  <si>
    <t>Área de serviço</t>
  </si>
  <si>
    <t>Lavanderia</t>
  </si>
  <si>
    <t>DML</t>
  </si>
  <si>
    <t>Rouparia</t>
  </si>
  <si>
    <t>Vestiário masculino</t>
  </si>
  <si>
    <t>Vestiário feminino</t>
  </si>
  <si>
    <t>Creche III</t>
  </si>
  <si>
    <t>Sanitário infantil</t>
  </si>
  <si>
    <t>Pré-escola 1</t>
  </si>
  <si>
    <t>Sanitário feminino</t>
  </si>
  <si>
    <t>Pré-escola 2</t>
  </si>
  <si>
    <t>Creche I</t>
  </si>
  <si>
    <t>Fraldário</t>
  </si>
  <si>
    <t>Depósito</t>
  </si>
  <si>
    <t>PNE infaltil</t>
  </si>
  <si>
    <t>Corredores</t>
  </si>
  <si>
    <t>Lavabos</t>
  </si>
  <si>
    <t>Pré-escola 4</t>
  </si>
  <si>
    <t>Pré-escola 3</t>
  </si>
  <si>
    <t>Creche II</t>
  </si>
  <si>
    <t>Paredes Externas</t>
  </si>
  <si>
    <t>Térreo pórtico</t>
  </si>
  <si>
    <t>Pórtico à esquerda</t>
  </si>
  <si>
    <t>Térreo portão</t>
  </si>
  <si>
    <t>Portão acesso principal</t>
  </si>
  <si>
    <t>Térreo mureta</t>
  </si>
  <si>
    <t>Mureta entrada</t>
  </si>
  <si>
    <t>Muro</t>
  </si>
  <si>
    <t xml:space="preserve">Cobertura </t>
  </si>
  <si>
    <t>Empena ou oitão</t>
  </si>
  <si>
    <t>Caixa D'água</t>
  </si>
  <si>
    <t>Cobertura</t>
  </si>
  <si>
    <t>Platibanda</t>
  </si>
  <si>
    <t>Caixa D'água Externo</t>
  </si>
  <si>
    <t>Resumo Chapisco, Reboco e Gesso</t>
  </si>
  <si>
    <t>Total Geral</t>
  </si>
  <si>
    <t>PAREDE</t>
  </si>
  <si>
    <t>Tipo de Acabamento</t>
  </si>
  <si>
    <t>OK</t>
  </si>
  <si>
    <t>Reboco Interno</t>
  </si>
  <si>
    <t>Perím. (m)</t>
  </si>
  <si>
    <t>Sanca</t>
  </si>
  <si>
    <t>ESCAVAÇAO DAS ESTACAS DO MURO</t>
  </si>
  <si>
    <t>VOL. DE CONCR. DAS ESTACAS DO MURO</t>
  </si>
  <si>
    <t>QUANT</t>
  </si>
  <si>
    <t>DIAMETRO (m)</t>
  </si>
  <si>
    <t>ALT (m)</t>
  </si>
  <si>
    <t>VOL(m3)</t>
  </si>
  <si>
    <t>AÇO TOTAL INFRAESTRUTURA</t>
  </si>
  <si>
    <t>RELAÇAO DO AÇO (ESTACAS) DO MURO</t>
  </si>
  <si>
    <t>ESCAVAÇAO DAS ESTACAS DA EDIFICAÇÃO</t>
  </si>
  <si>
    <t>VOL. DE CONCR. DAS ESTACAS  EDIFICAÇAO</t>
  </si>
  <si>
    <t>AÇO</t>
  </si>
  <si>
    <t>DIAM</t>
  </si>
  <si>
    <t>COMP</t>
  </si>
  <si>
    <t xml:space="preserve">(kgf/m) </t>
  </si>
  <si>
    <t>total</t>
  </si>
  <si>
    <t>total c/perda 10%</t>
  </si>
  <si>
    <t>CA-50</t>
  </si>
  <si>
    <t>8mm</t>
  </si>
  <si>
    <t>CA-60</t>
  </si>
  <si>
    <t>5mm</t>
  </si>
  <si>
    <t>ESCAV.MECANIZADA VOL(M3)</t>
  </si>
  <si>
    <t>VOL.CONC DAS ESTACAS (M3)</t>
  </si>
  <si>
    <t>RELAÇAO DO AÇO (ESTACAS) DA EDUFUCAÇAO</t>
  </si>
  <si>
    <t>PROFUNDIDADE DAS ESTACAS (M)</t>
  </si>
  <si>
    <t>ESCAV.MANUAL DAS VIGAS BALDRAME DO MURO</t>
  </si>
  <si>
    <t>VOL. CONCR. VIGAS BALDRAME DO MURO</t>
  </si>
  <si>
    <t>fck 25mpa</t>
  </si>
  <si>
    <t>PER (m)</t>
  </si>
  <si>
    <t>LAR (m)</t>
  </si>
  <si>
    <t>VOL.TOT(m3)</t>
  </si>
  <si>
    <t>RELAÇAO DO AÇO (BLOCOS)</t>
  </si>
  <si>
    <t>ESCAV. MANUAL VIGAS BALDRAME DA EDIFIC</t>
  </si>
  <si>
    <t>VOL. CONCR. VIGAS BALDRAME DA EDIFIC. fck 25mpa</t>
  </si>
  <si>
    <t>RELAÇAO DO AÇO (BALDRAME) DA EDIFICAÇAO</t>
  </si>
  <si>
    <t>ESCAV.MANUAL BALDRAME VOL(M3)</t>
  </si>
  <si>
    <t>VOL.CONC DAS BALDRAMES (M3)</t>
  </si>
  <si>
    <t>10mm</t>
  </si>
  <si>
    <t>ESCAV.MANUAL  DOS BLOCOS MURO</t>
  </si>
  <si>
    <t>VOL. CONCR. BLOCOS DO MURO fck 25mpa</t>
  </si>
  <si>
    <t>RELAÇAO DO AÇO (BALDRAME) DO MURO</t>
  </si>
  <si>
    <t>COMPR (m)</t>
  </si>
  <si>
    <t>LARGURA (m)</t>
  </si>
  <si>
    <t>ESCAV.MANUAL  DOS BLOCOS  DA EDIFICAÇAO</t>
  </si>
  <si>
    <t>VOL. CONCR. BLOCOS DA EDIFICAÇAO fck 25mpa</t>
  </si>
  <si>
    <t>AÇO TOTAL PARA INFRAESTRUTURA (FUNDAÇAO) EM KG</t>
  </si>
  <si>
    <t>CA-50 (6,3 a 10 mm)</t>
  </si>
  <si>
    <t>CA-60 (4.0 a 7.0mm)</t>
  </si>
  <si>
    <t>ESCAV.DOS BLOCOS VOL(M3)</t>
  </si>
  <si>
    <t>VOL.CONC DOS BLOCOS (M3)</t>
  </si>
  <si>
    <t>VOLUME TOTAL DE  ESCAVAÇAO M3</t>
  </si>
  <si>
    <t>AÇO TOTAL SUPERESTRUTURA</t>
  </si>
  <si>
    <t>MANUAL</t>
  </si>
  <si>
    <t>MECANIZADO</t>
  </si>
  <si>
    <t>RELAÇAO DO AÇO (PILARES) DO MURO</t>
  </si>
  <si>
    <t>TOT.GERAL</t>
  </si>
  <si>
    <t>REATERRO MAN.DOS BLOCOS DO MURO</t>
  </si>
  <si>
    <t>REATERRO MANUAL VIGAS BALDRAME DO MURO</t>
  </si>
  <si>
    <t>VOL.ESCAVADO MENOS VOL.CONCRETADO</t>
  </si>
  <si>
    <t>RELAÇAO DO AÇO (PILARES) DA EDIFICAÇAO</t>
  </si>
  <si>
    <t>REATERRO MAN.DOS BLOCOS EDIFICAÇAO</t>
  </si>
  <si>
    <t>REATERRO MANUAL DAS VIGAS BALD. DA EDIFICAÇAO</t>
  </si>
  <si>
    <t>REATERRO</t>
  </si>
  <si>
    <t>VOL.FINAL (SOBRA) M3. (EMPOLAMENTO 30%)</t>
  </si>
  <si>
    <t xml:space="preserve">VOL.FINAL PARA BOTA FORA </t>
  </si>
  <si>
    <t xml:space="preserve">VOL.FINAL COM EMPOLAMENTO </t>
  </si>
  <si>
    <t>RELAÇAO DO AÇO (VIGAS) DA COBERTURA</t>
  </si>
  <si>
    <t>VOL.FINAL DE(CONCRETO M3).P/FUNDAÇAO 25MPA</t>
  </si>
  <si>
    <t>12,5mm</t>
  </si>
  <si>
    <t>VOL.(M3)</t>
  </si>
  <si>
    <t>ESTAQUEAMENTO MECANIZADO (M)</t>
  </si>
  <si>
    <t>CONCRETO MAGRO P/ FUNDAÇOES (M3)  h=10 cm</t>
  </si>
  <si>
    <t>ESTACAS</t>
  </si>
  <si>
    <t>PROF. (m)</t>
  </si>
  <si>
    <t>quantid.</t>
  </si>
  <si>
    <t>VIGAS.BALD</t>
  </si>
  <si>
    <t>COMP (m)</t>
  </si>
  <si>
    <t>LARG.(m)</t>
  </si>
  <si>
    <t>ALT.(m)</t>
  </si>
  <si>
    <t>VOL(M3)</t>
  </si>
  <si>
    <t>RELAÇAO DO AÇO (VIGAS) DE COBERTURA CX D´AGUA</t>
  </si>
  <si>
    <t xml:space="preserve"> MURO</t>
  </si>
  <si>
    <t>MURO</t>
  </si>
  <si>
    <t xml:space="preserve"> EDIFIC.</t>
  </si>
  <si>
    <t>EDIFIC.</t>
  </si>
  <si>
    <t>BLOCOS</t>
  </si>
  <si>
    <t>APIL. FUNDO DAS BALDRAME E BLOCOS M2</t>
  </si>
  <si>
    <t>BALDRAM.</t>
  </si>
  <si>
    <t>COMP. (m)</t>
  </si>
  <si>
    <t>LARG. (m)</t>
  </si>
  <si>
    <t>TOT. (m2)</t>
  </si>
  <si>
    <t>RELAÇAO DO AÇO (VIGAS) DE COBERTURA DO MURO</t>
  </si>
  <si>
    <t>TOT.GER</t>
  </si>
  <si>
    <t>impermeabilizaçao das baldrames</t>
  </si>
  <si>
    <t>item</t>
  </si>
  <si>
    <t>comp.(m)</t>
  </si>
  <si>
    <t>alt.(m)</t>
  </si>
  <si>
    <t>larg.(m)</t>
  </si>
  <si>
    <t>tot (m2)</t>
  </si>
  <si>
    <t>RELAÇAO DO AÇO (LAJES)</t>
  </si>
  <si>
    <t>muro</t>
  </si>
  <si>
    <t>edificaçao</t>
  </si>
  <si>
    <t>tot.geral (m2)</t>
  </si>
  <si>
    <t>4,2mm</t>
  </si>
  <si>
    <t>FORMAS DA FUNDAÇAO:BLOCOS E BALDRAMES. (M2)</t>
  </si>
  <si>
    <t>FORMAS PARA OS BLOCOS DO MURO E EDIFICAÇAO M2</t>
  </si>
  <si>
    <t>AÇO TOTAL P/ SUPERESTRUTURA (PILAR,VIGA E LAJE) KG</t>
  </si>
  <si>
    <t>MURO (0,6 x 0,6) x 4 x 58</t>
  </si>
  <si>
    <t>EDIFICAÇAO (0,6 x 0,6) x 4 x 75</t>
  </si>
  <si>
    <t>FORMAS BALDRAME MURO M2</t>
  </si>
  <si>
    <t>FORMAS BALDRAME  EDIFICAÇAO M2</t>
  </si>
  <si>
    <t>202,08 X ( 2 X 0,30 )</t>
  </si>
  <si>
    <t>533,76 X ( 2 X 0,30 )</t>
  </si>
  <si>
    <t>CA-50(12.5 a 25.0mm)</t>
  </si>
  <si>
    <t>FORMAS DA SUPERESTRUTA:VIGAS ,PILARES E LAJE. (M2)</t>
  </si>
  <si>
    <t>CA-60 (4 a 7 mm)</t>
  </si>
  <si>
    <t>FORMAS PILARES MURO M2</t>
  </si>
  <si>
    <t>FORMAS PILARES EDIFICAÇAO M2</t>
  </si>
  <si>
    <t>LAR.(m)</t>
  </si>
  <si>
    <t>COM.(m)</t>
  </si>
  <si>
    <t>ALTUR.(m)</t>
  </si>
  <si>
    <t>FORMAS DE VIGAS DA COBERTURA M2</t>
  </si>
  <si>
    <t>COMP.(m)</t>
  </si>
  <si>
    <t>FORMA DE PILAR E VIGA</t>
  </si>
  <si>
    <t>LAJE COBERTURA FCK 30mpa</t>
  </si>
  <si>
    <t>m3 concreto/m2 construído:</t>
  </si>
  <si>
    <t>AREA da laje  m2</t>
  </si>
  <si>
    <t>forma da laje</t>
  </si>
  <si>
    <t>VOL.CONC</t>
  </si>
  <si>
    <t xml:space="preserve">VOL.DE CONCRETO P/SUPERESTRUTURAS:PILAR,VIGA E LAJES. M3 </t>
  </si>
  <si>
    <t>PILARES DO TERREO fck 30mpa</t>
  </si>
  <si>
    <t>PILARES DO muro fck 30mpa</t>
  </si>
  <si>
    <t xml:space="preserve"> VIGAS SUPERIOR  DO MURO FCK 25 MPA</t>
  </si>
  <si>
    <t>VOL.(m3)</t>
  </si>
  <si>
    <t>VIGAS DA COBERTURA 30MPA</t>
  </si>
  <si>
    <t>VOL.TOTAL 25MPA</t>
  </si>
  <si>
    <t>VOL.TOTAL 30MPA</t>
  </si>
  <si>
    <t>AREA m2</t>
  </si>
  <si>
    <t>VOL.DE CONCRETO P/INFRAESTRUTURA (FUNDAÇAO):ESTACAS,BLOCOS E BALDRAME. M3</t>
  </si>
  <si>
    <t>fck 25 mpa</t>
  </si>
  <si>
    <t>ESCAVAÇAO DAS VIGAS BALDRAME DO MURO</t>
  </si>
  <si>
    <t>ESCAVAÇAO DAS VIGAS BALDRAME DA EDIFICAÇAO</t>
  </si>
  <si>
    <t>VOL. CONCR. VIGAS BALDRAME DA EDIFICAÇAO</t>
  </si>
  <si>
    <t>ESCAVAÇAO  DOS BLOCOS MURO</t>
  </si>
  <si>
    <t>ESCAVAÇAO  DOS BLOCOS  DA EDIFICAÇAO</t>
  </si>
  <si>
    <t>VOL. TOTAL DE ESCAVACAO</t>
  </si>
  <si>
    <t>VOL.ESC MANUAL</t>
  </si>
  <si>
    <t>VOL.ESC MECANIZADO</t>
  </si>
  <si>
    <t>m3</t>
  </si>
  <si>
    <t xml:space="preserve">SUPERESTRUTURAS:PILAR,VIGA E LAJES </t>
  </si>
  <si>
    <t>REATERRO MANUAL DOS BLOCOS DO MURO</t>
  </si>
  <si>
    <t>REATERRO MANUAL DOS BLOCOS EDIFICAÇAO</t>
  </si>
  <si>
    <t>VOLUME TOTAL (m3)</t>
  </si>
  <si>
    <t>EMPOLAMENTO 30%</t>
  </si>
  <si>
    <t>BOTAFORA  (m3)</t>
  </si>
  <si>
    <t>FORMAS:BLOCOS,BALDRAMES,VIGAS E PILARES</t>
  </si>
  <si>
    <t>LAR</t>
  </si>
  <si>
    <t>COM</t>
  </si>
  <si>
    <t>ALTUR</t>
  </si>
  <si>
    <t>ESTAQUEAMENTO MECANIZADO</t>
  </si>
  <si>
    <t>CONCRETO MAGRO P/ FUNDAÇOES</t>
  </si>
  <si>
    <t>PROFUND. (m)</t>
  </si>
  <si>
    <t>BALDRAME</t>
  </si>
  <si>
    <t xml:space="preserve"> EDIFICAÇAO</t>
  </si>
  <si>
    <t>EDIFICAÇAO</t>
  </si>
  <si>
    <t>TOT.ESC (m)</t>
  </si>
  <si>
    <t>APILOAMENTO DO FUNDO DAS BALDRAME E BLOCOS</t>
  </si>
  <si>
    <t>TOTAL (M3)</t>
  </si>
  <si>
    <t>IMPERMEABILIZAÇAO DAS VIGAS BALDRAME</t>
  </si>
  <si>
    <t>AREA.(M2)</t>
  </si>
  <si>
    <t xml:space="preserve">PREVISÃO INICIAL: </t>
  </si>
  <si>
    <t>INSTALAÇÕES APARENTES</t>
  </si>
  <si>
    <t>Perfilado perfurado 38X38X6000 MM</t>
  </si>
  <si>
    <t>Junção interna "I"</t>
  </si>
  <si>
    <t>Junção interna "L"</t>
  </si>
  <si>
    <t>Junção interna "T"</t>
  </si>
  <si>
    <t>Junção interna "X"</t>
  </si>
  <si>
    <t>Base com4 furos para fixação externa em chapa de aço para perfilado</t>
  </si>
  <si>
    <t>Gancho curto para perfilado, ( ref.: Mopa ou similar)</t>
  </si>
  <si>
    <t>Cantoneira "ZZ" para fixação de perfilado, ref. Mopa ou similar</t>
  </si>
  <si>
    <t>Barra de vergalhão rosca total em aço 1/4 ''</t>
  </si>
  <si>
    <t>Fornecimento e instalação parafuso soberba sextavado 3/16'' x 50mm, inclusive arruela lisa 3/16" e bucha plástica de fixação 8mm.</t>
  </si>
  <si>
    <t>Fornecimento e instalação de parafuso lentinha com trava 1/4' x 1/2'', inclusive com porcas sextavadas 1/4" e arruela lisa 1/4.</t>
  </si>
  <si>
    <t>Fornecimento e instalação de eletrocalha perfurada 100 x 50 x 3000 mm (ref. mopa ou similar)-3 metros</t>
  </si>
  <si>
    <t>Terminal para eletrocalha 150x50 mm</t>
  </si>
  <si>
    <t>Curva horiz. 90°  c/ tampa p/ eletrocalha 150x50 mm</t>
  </si>
  <si>
    <t xml:space="preserve">Derivação “t" horiz. 90°  p/ eletr. 150x50 mm </t>
  </si>
  <si>
    <t>Terminal para eletrocalha 100x50 mm.</t>
  </si>
  <si>
    <t>Fornecimento e instalação de eletroduto rígido de ferro galvanizado 3/4 -3m, inclusive abraçadeira tipo "d" com cunha aço carbono galvanizado 3/4”, saida eletroduto hor. aço carbono pré-galvanizado 3/4", conector unidut cônico curto em alumínio sem vedação e rosca, bucha metálica para eletroduto de alumínio redonda 3/4", conector unidut reto curto em alumínio sem vedação e rosca 3/4" e curva metálica eletroduto 90° aço carbono pré -galvanizado 3/4".</t>
  </si>
  <si>
    <t>Caixa de embutir marca de referência Tigreflex, 4x2".</t>
  </si>
  <si>
    <t>Fornecimento e instalação de eletroduto rígido de ferro galvanizado pvc 1" 3m, abraçadeira tipo "d" com cunha aço carbono galvanizado 1", saída eletroduto horizontal aço, carbono pre-galvanizado 1", conector unidut cônico curto em alumínio sem vedação sem rosca 1", conector unidut reto curto em alumínio sem vedação sem rosca 1", bucha metálica para eletroduto de alumínio redonda 1".</t>
  </si>
  <si>
    <t>Fornecimento e instalação de eletroduto rígido de pvc 1" 3m, inclusive curva não metálica p/eletroduto rígido 90 pvc preta1", luva não metálica p/eletroduto p.c. preta com rosca 1" e arruela metálica p/ eletroduto de alumínio redonda 1".</t>
  </si>
  <si>
    <t>Fundação</t>
  </si>
  <si>
    <t>blocos da edificaçao</t>
  </si>
  <si>
    <t>Comprimento  (m)</t>
  </si>
  <si>
    <t>Largura (m)</t>
  </si>
  <si>
    <t>Altura (m)</t>
  </si>
  <si>
    <t>Critério de Escavação</t>
  </si>
  <si>
    <t>Escavação (m³)</t>
  </si>
  <si>
    <t xml:space="preserve">Apiloamento Fundo de Valas  </t>
  </si>
  <si>
    <t>Concreto Magro h=10cm (m³)</t>
  </si>
  <si>
    <t>Fôrma (m²)</t>
  </si>
  <si>
    <t>Concreto (m³)</t>
  </si>
  <si>
    <t xml:space="preserve">Reaterro (m³) </t>
  </si>
  <si>
    <t>Transporte Mat. Escavado (fator 1,3) (m³)</t>
  </si>
  <si>
    <t>B1</t>
  </si>
  <si>
    <t>B2</t>
  </si>
  <si>
    <t>B3</t>
  </si>
  <si>
    <t>B4</t>
  </si>
  <si>
    <t>B5</t>
  </si>
  <si>
    <t>B6</t>
  </si>
  <si>
    <t>B7</t>
  </si>
  <si>
    <t>B8</t>
  </si>
  <si>
    <t>Quantidade:</t>
  </si>
  <si>
    <t>Considerar 10cm para cada lado na escavação devido ao uso da retro-escavadeira</t>
  </si>
  <si>
    <t xml:space="preserve">Considerar 10cm para cada lado na escavação 
</t>
  </si>
  <si>
    <t xml:space="preserve">Considerar que o concreto magro ocupará todo o fundo da vala
</t>
  </si>
  <si>
    <t xml:space="preserve">Considerar empolamento de 30%
</t>
  </si>
  <si>
    <t>Cintamento/viga baldrame</t>
  </si>
  <si>
    <t>Cinta / Baldrame</t>
  </si>
  <si>
    <t>Transporte Mat. Escavado 
(fator 1,3) (m³)</t>
  </si>
  <si>
    <t>Total</t>
  </si>
  <si>
    <t>Item</t>
  </si>
  <si>
    <t>Unidade</t>
  </si>
  <si>
    <t>Escavação</t>
  </si>
  <si>
    <t xml:space="preserve">Apiloamento </t>
  </si>
  <si>
    <t>m2</t>
  </si>
  <si>
    <t>Conc. Magro</t>
  </si>
  <si>
    <t>Fôrma</t>
  </si>
  <si>
    <t>Concreto</t>
  </si>
  <si>
    <t>Aço</t>
  </si>
  <si>
    <t>kg</t>
  </si>
  <si>
    <t>Kg aço/m3 concreto:</t>
  </si>
  <si>
    <t>Reaterro</t>
  </si>
  <si>
    <t>Transporte</t>
  </si>
  <si>
    <t>Impermeablização de cintas e blocos</t>
  </si>
  <si>
    <t>Cintas</t>
  </si>
  <si>
    <t>Comprimento (m)</t>
  </si>
  <si>
    <t>Área impermeabilizada (m2)</t>
  </si>
  <si>
    <t>Resumo</t>
  </si>
  <si>
    <t>Área total impermeabilizada (m2)</t>
  </si>
  <si>
    <t>Aterro</t>
  </si>
  <si>
    <t>Local</t>
  </si>
  <si>
    <t>Volume (m3)</t>
  </si>
  <si>
    <t>Metade  terreno</t>
  </si>
  <si>
    <t>aterro (topografia)</t>
  </si>
  <si>
    <t>Área total</t>
  </si>
  <si>
    <t>aterro (nivel de projeto)</t>
  </si>
  <si>
    <t>Apiloamento 30%:</t>
  </si>
  <si>
    <t>contração volumetrica</t>
  </si>
  <si>
    <t>Vol.de aterro</t>
  </si>
  <si>
    <t>Superestrutura</t>
  </si>
  <si>
    <t>Área construída (m2)</t>
  </si>
  <si>
    <t>Fôrma (m2)</t>
  </si>
  <si>
    <t>Aço (kg)</t>
  </si>
  <si>
    <t>Concreto (m3)</t>
  </si>
  <si>
    <t>kgf aço/m3 concreto:</t>
  </si>
  <si>
    <t>m2 forma/m3 concreto:</t>
  </si>
  <si>
    <t xml:space="preserve">Lajes </t>
  </si>
  <si>
    <t>Peça estrutural</t>
  </si>
  <si>
    <t>Forma</t>
  </si>
  <si>
    <t>JUNTAS DE DILATAÇÃO</t>
  </si>
  <si>
    <t>Comp.(m)</t>
  </si>
  <si>
    <t>Espaçamento (m)</t>
  </si>
  <si>
    <t>Térreo e cobertura</t>
  </si>
  <si>
    <t>Total (m)</t>
  </si>
  <si>
    <t xml:space="preserve">Levantamento de Quantitativos de Alvenaria </t>
  </si>
  <si>
    <t>Alvenaria</t>
  </si>
  <si>
    <t>ALVENARIA</t>
  </si>
  <si>
    <t>Descrição</t>
  </si>
  <si>
    <t>Dimensões</t>
  </si>
  <si>
    <t>Descontos (m2)</t>
  </si>
  <si>
    <t>Material</t>
  </si>
  <si>
    <t>Bloco concreto 14cm</t>
  </si>
  <si>
    <t>Parede ext. horizontal</t>
  </si>
  <si>
    <t>Parede ext. vertical</t>
  </si>
  <si>
    <t>Parede int. horizontal</t>
  </si>
  <si>
    <t>Tijolo Cerâmico 14cm</t>
  </si>
  <si>
    <t>Parede int. vertical</t>
  </si>
  <si>
    <t>Térreo recepção</t>
  </si>
  <si>
    <t>Bloco Concreto 14cm</t>
  </si>
  <si>
    <t>Térreo pilares</t>
  </si>
  <si>
    <t>06 pilares fachada</t>
  </si>
  <si>
    <t>Resumo Alvenaria</t>
  </si>
  <si>
    <t>RESUMO ALVENARIA</t>
  </si>
  <si>
    <t>TIPO DE MATERIAL</t>
  </si>
  <si>
    <t xml:space="preserve">+10% </t>
  </si>
  <si>
    <t>Cobogó de concreto</t>
  </si>
  <si>
    <t>Comp. (m)</t>
  </si>
  <si>
    <t>C1</t>
  </si>
  <si>
    <t>C6</t>
  </si>
  <si>
    <t>Acabamentos</t>
  </si>
  <si>
    <t>REVESTIMENTO</t>
  </si>
  <si>
    <t>PISOS</t>
  </si>
  <si>
    <t>RODAPÉ</t>
  </si>
  <si>
    <t>Piso (m2)</t>
  </si>
  <si>
    <t>Rodapé (m)</t>
  </si>
  <si>
    <t>Tipo de Revestimento</t>
  </si>
  <si>
    <t>ÁREA
(m²)</t>
  </si>
  <si>
    <t>Pintura e emassamento</t>
  </si>
  <si>
    <t>Porcelanato 60x60 Avorio</t>
  </si>
  <si>
    <t>Pintura PVA</t>
  </si>
  <si>
    <t>Granito</t>
  </si>
  <si>
    <t>Porcelanato</t>
  </si>
  <si>
    <t>Cerâmica ret. 30x50 Branca</t>
  </si>
  <si>
    <t>Pintura PVa</t>
  </si>
  <si>
    <t>Pintura Acrílica</t>
  </si>
  <si>
    <t>PNE infantil</t>
  </si>
  <si>
    <t>Não se aplica</t>
  </si>
  <si>
    <t>Amadeirado reguá</t>
  </si>
  <si>
    <t>ACM</t>
  </si>
  <si>
    <t>Porcelanato 60x60 Bege</t>
  </si>
  <si>
    <t>Cerâmica 5x15 bege</t>
  </si>
  <si>
    <t>Rodapé Laminado</t>
  </si>
  <si>
    <t>Porcelanato 50x50</t>
  </si>
  <si>
    <t>Resumo Revestimentos</t>
  </si>
  <si>
    <t>TOTAL pintura /emassamento</t>
  </si>
  <si>
    <t>Tipo</t>
  </si>
  <si>
    <t>RODAPÉS</t>
  </si>
  <si>
    <t>Revestimento cerâmico 21x21cm</t>
  </si>
  <si>
    <t>Desconto (m)</t>
  </si>
  <si>
    <t>Janelas e Portas</t>
  </si>
  <si>
    <t>Resumo Esquadrias</t>
  </si>
  <si>
    <t>Janela</t>
  </si>
  <si>
    <t>200X210</t>
  </si>
  <si>
    <t>100x60</t>
  </si>
  <si>
    <t>Janela simples de alumínio e vidro</t>
  </si>
  <si>
    <t>100x80</t>
  </si>
  <si>
    <t>150x80</t>
  </si>
  <si>
    <t>150x120</t>
  </si>
  <si>
    <t>140x165</t>
  </si>
  <si>
    <t>150x210</t>
  </si>
  <si>
    <t>200x60</t>
  </si>
  <si>
    <t>200x120</t>
  </si>
  <si>
    <t>200x100</t>
  </si>
  <si>
    <t>200x165</t>
  </si>
  <si>
    <t>250x90</t>
  </si>
  <si>
    <t>250x120</t>
  </si>
  <si>
    <t>300x120</t>
  </si>
  <si>
    <t>Porta</t>
  </si>
  <si>
    <t>70x210</t>
  </si>
  <si>
    <t>Porta de madeira semioca com forras de madeira</t>
  </si>
  <si>
    <t>Abrir</t>
  </si>
  <si>
    <t>PV2</t>
  </si>
  <si>
    <t>Porta de alumínio veneziana branca</t>
  </si>
  <si>
    <t>P3</t>
  </si>
  <si>
    <t>80x210</t>
  </si>
  <si>
    <t>PV3</t>
  </si>
  <si>
    <t>Correr</t>
  </si>
  <si>
    <t>Porta de madeira com visor</t>
  </si>
  <si>
    <t>PV5</t>
  </si>
  <si>
    <t>300x300</t>
  </si>
  <si>
    <t>Porta de vidro temperado laminado</t>
  </si>
  <si>
    <t>350x250</t>
  </si>
  <si>
    <t>Portão de garagem em alumínio branco tipo veneziana</t>
  </si>
  <si>
    <t>400x220</t>
  </si>
  <si>
    <t>470x250</t>
  </si>
  <si>
    <t>Portão de entrada principal alumínio branco tipo veneziana</t>
  </si>
  <si>
    <t>Nº11</t>
  </si>
  <si>
    <t>60x120</t>
  </si>
  <si>
    <t>Porta divisória banheiro infantis</t>
  </si>
  <si>
    <t>Painel em vidro</t>
  </si>
  <si>
    <t>Vidro</t>
  </si>
  <si>
    <t>vidro</t>
  </si>
  <si>
    <t>Guarita</t>
  </si>
  <si>
    <t>Fórmica</t>
  </si>
  <si>
    <t>+10%</t>
  </si>
  <si>
    <t>Tela mosquiteiro cozinha/dispensa</t>
  </si>
  <si>
    <t xml:space="preserve">Área de Contrapiso </t>
  </si>
  <si>
    <t>Área
(m²)</t>
  </si>
  <si>
    <t>Descontos (m²)</t>
  </si>
  <si>
    <t>+5%</t>
  </si>
  <si>
    <t xml:space="preserve">Impermeabilização das Áreas Molhadas </t>
  </si>
  <si>
    <t>Área (m²)</t>
  </si>
  <si>
    <t>Pé Direito (m)</t>
  </si>
  <si>
    <t>Parede (m²)</t>
  </si>
  <si>
    <t>Piso (m²)</t>
  </si>
  <si>
    <t>Laje descoberta</t>
  </si>
  <si>
    <t>Área De Impermeabilização (m²)</t>
  </si>
  <si>
    <t>Bancadas de Granito</t>
  </si>
  <si>
    <t>Apartamento</t>
  </si>
  <si>
    <t>Rodabancada (10cm) (m2)</t>
  </si>
  <si>
    <t>Saia (25cm) (m2)</t>
  </si>
  <si>
    <t>Área Total (m²)</t>
  </si>
  <si>
    <t>Sanitário infantil Fem.</t>
  </si>
  <si>
    <t>Sanitário infantil Mas.</t>
  </si>
  <si>
    <t>Soleiras</t>
  </si>
  <si>
    <t>Soleira (m)</t>
  </si>
  <si>
    <t>Peitoris</t>
  </si>
  <si>
    <t>Peitoril (m)</t>
  </si>
  <si>
    <t>Divisórias</t>
  </si>
  <si>
    <t>Peitoris de sanitários (n42 do projeto)</t>
  </si>
  <si>
    <t>Gradil</t>
  </si>
  <si>
    <t>Área Verde Permeável</t>
  </si>
  <si>
    <t>Área de Grama
(m²)</t>
  </si>
  <si>
    <t>1 - playgroud</t>
  </si>
  <si>
    <t>2 - playgroud</t>
  </si>
  <si>
    <t>3 - interior</t>
  </si>
  <si>
    <t>4 - interior</t>
  </si>
  <si>
    <t>5 - frente</t>
  </si>
  <si>
    <t>Pavimento externo</t>
  </si>
  <si>
    <t>PAV's</t>
  </si>
  <si>
    <t>Passeio cimentado</t>
  </si>
  <si>
    <t>Ladrilho hidráulico</t>
  </si>
  <si>
    <t>Piso emborrachado</t>
  </si>
  <si>
    <t>Pergolado</t>
  </si>
  <si>
    <t>Comp (m)</t>
  </si>
  <si>
    <t>Madeira 15x15</t>
  </si>
  <si>
    <t>Vergas e Contravergas</t>
  </si>
  <si>
    <t xml:space="preserve">Portas </t>
  </si>
  <si>
    <t>Verga (m)</t>
  </si>
  <si>
    <t>Verga de Porta (un)</t>
  </si>
  <si>
    <t>Metros Vergas</t>
  </si>
  <si>
    <t>Janelas</t>
  </si>
  <si>
    <t>Verga e Contraverga (un)</t>
  </si>
  <si>
    <t>Metros Verga</t>
  </si>
  <si>
    <t xml:space="preserve">Resumo </t>
  </si>
  <si>
    <t>Vergas (m)</t>
  </si>
  <si>
    <t>Telhado, Calhas, Rufos e Grelhas</t>
  </si>
  <si>
    <t>Telhado</t>
  </si>
  <si>
    <t>Telhado em Planta (m²)</t>
  </si>
  <si>
    <t>Rufo em Planta (m)</t>
  </si>
  <si>
    <t>Fator de Inclinação</t>
  </si>
  <si>
    <t>Área do Telhado i=5% (m2)</t>
  </si>
  <si>
    <t>Rufo (m)</t>
  </si>
  <si>
    <t>Calha (m)</t>
  </si>
  <si>
    <t>Li = 100,498cm</t>
  </si>
  <si>
    <t>Pré escola 1 e 2</t>
  </si>
  <si>
    <t>h = 10cm</t>
  </si>
  <si>
    <t>Pré escola 3 e 4</t>
  </si>
  <si>
    <t>L = 100cm</t>
  </si>
  <si>
    <t>Pingadeira</t>
  </si>
  <si>
    <t>perimetro (m)</t>
  </si>
  <si>
    <t>Mureta gradil</t>
  </si>
  <si>
    <t>lado direito mais frente</t>
  </si>
  <si>
    <t>fundos</t>
  </si>
  <si>
    <t>lado esquerdo mais frente</t>
  </si>
  <si>
    <t>primetro total (m)</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</si>
</sst>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164" formatCode="#,##0.00_ ;\-#,##0.00\ "/>
    <numFmt numFmtId="165" formatCode="_(* #,##0.00_);_(* \(#,##0.00\);_(* \-??_);_(@_)"/>
    <numFmt numFmtId="167" formatCode="_-&quot;R$ &quot;* #,##0.00_-;&quot;-R$ &quot;* #,##0.00_-;_-&quot;R$ &quot;* \-??_-;_-@_-"/>
    <numFmt numFmtId="168" formatCode="&quot;R$&quot;\ #,##0.00_);[Red]\(&quot;R$&quot;\ #,###.00\)"/>
    <numFmt numFmtId="169" formatCode="0.000"/>
    <numFmt numFmtId="170" formatCode="#.000"/>
    <numFmt numFmtId="171" formatCode="#,000"/>
    <numFmt numFmtId="172" formatCode="_-* #,##0.00_-;\-* #,##0.00_-;_-* \-??_-;_-@_-"/>
    <numFmt numFmtId="173" formatCode="#,000.00"/>
    <numFmt numFmtId="174" formatCode="dd/mm/yyyy;@"/>
    <numFmt numFmtId="175" formatCode="0.0"/>
    <numFmt numFmtId="176" formatCode="#,##0.00_);[Red]\(#,##0.00\)"/>
    <numFmt numFmtId="177" formatCode="&quot;R$&quot;#,##0.00_);[Red]\(&quot;R$&quot;#,##0.00\)"/>
    <numFmt numFmtId="178" formatCode="0.00_);[Red]\(0.00\)"/>
    <numFmt numFmtId="179" formatCode="0.0000"/>
    <numFmt numFmtId="180" formatCode="#,##0.00%;[Red]\-#,##0.00%"/>
    <numFmt numFmtId="181" formatCode="&quot;R$ &quot;#,##0.00"/>
  </numFmts>
  <fonts count="59">
    <font>
      <sz val="11"/>
      <color rgb="FF000000"/>
      <name val="Calibri"/>
      <charset val="1"/>
    </font>
    <font>
      <b/>
      <sz val="24"/>
      <color rgb="FF44546A"/>
      <name val="Calibri"/>
      <charset val="134"/>
    </font>
    <font>
      <i/>
      <sz val="14"/>
      <color rgb="FFA6A6A6"/>
      <name val="Calibri"/>
      <charset val="134"/>
    </font>
    <font>
      <b/>
      <sz val="14"/>
      <color rgb="FF44546A"/>
      <name val="Calibri Light"/>
      <charset val="134"/>
    </font>
    <font>
      <sz val="14"/>
      <color rgb="FF000000"/>
      <name val="Calibri"/>
      <charset val="134"/>
    </font>
    <font>
      <b/>
      <i/>
      <sz val="14"/>
      <color rgb="FFA6A6A6"/>
      <name val="Calibri"/>
      <charset val="134"/>
    </font>
    <font>
      <sz val="14"/>
      <color rgb="FF262626"/>
      <name val="Calibri"/>
      <charset val="134"/>
    </font>
    <font>
      <b/>
      <sz val="14"/>
      <color rgb="FFFFFFFF"/>
      <name val="Calibri"/>
      <charset val="134"/>
    </font>
    <font>
      <sz val="11"/>
      <name val="Calibri"/>
      <charset val="134"/>
    </font>
    <font>
      <b/>
      <sz val="11"/>
      <color rgb="FF000000"/>
      <name val="Calibri"/>
      <charset val="134"/>
    </font>
    <font>
      <b/>
      <sz val="11"/>
      <name val="Calibri"/>
      <charset val="134"/>
    </font>
    <font>
      <sz val="11"/>
      <color rgb="FF000000"/>
      <name val="Calibri"/>
      <charset val="134"/>
    </font>
    <font>
      <sz val="24"/>
      <color rgb="FF404040"/>
      <name val="Calibri"/>
      <charset val="134"/>
    </font>
    <font>
      <sz val="11"/>
      <color rgb="FF00B050"/>
      <name val="Calibri"/>
      <charset val="134"/>
    </font>
    <font>
      <sz val="11"/>
      <color rgb="FF262626"/>
      <name val="Calibri"/>
      <charset val="134"/>
    </font>
    <font>
      <b/>
      <sz val="15"/>
      <color rgb="FF44546A"/>
      <name val="Calibri"/>
      <charset val="134"/>
    </font>
    <font>
      <b/>
      <sz val="12"/>
      <color rgb="FF44546A"/>
      <name val="Calibri"/>
      <charset val="134"/>
    </font>
    <font>
      <sz val="14"/>
      <color rgb="FFFFFFFF"/>
      <name val="Calibri"/>
      <charset val="134"/>
    </font>
    <font>
      <b/>
      <sz val="11"/>
      <color rgb="FF262626"/>
      <name val="Calibri"/>
      <charset val="134"/>
    </font>
    <font>
      <sz val="12"/>
      <name val="Calibri"/>
      <charset val="134"/>
    </font>
    <font>
      <sz val="12"/>
      <color rgb="FF000000"/>
      <name val="Calibri"/>
      <charset val="134"/>
    </font>
    <font>
      <sz val="11"/>
      <color rgb="FFFFFFFF"/>
      <name val="Calibri"/>
      <charset val="134"/>
    </font>
    <font>
      <sz val="11"/>
      <color rgb="FFFF0000"/>
      <name val="Calibri"/>
      <charset val="134"/>
    </font>
    <font>
      <sz val="11"/>
      <color theme="5"/>
      <name val="Calibri"/>
      <charset val="134"/>
    </font>
    <font>
      <sz val="12"/>
      <name val="Arial"/>
      <charset val="134"/>
    </font>
    <font>
      <sz val="12"/>
      <color rgb="FF000000"/>
      <name val="Arial"/>
      <charset val="134"/>
    </font>
    <font>
      <b/>
      <sz val="12"/>
      <color rgb="FF000000"/>
      <name val="Arial"/>
      <charset val="134"/>
    </font>
    <font>
      <b/>
      <sz val="12"/>
      <name val="Arial"/>
      <charset val="134"/>
    </font>
    <font>
      <b/>
      <sz val="11"/>
      <color rgb="FFFF0000"/>
      <name val="Calibri"/>
      <charset val="134"/>
    </font>
    <font>
      <sz val="11"/>
      <color theme="1"/>
      <name val="Calibri"/>
      <charset val="134"/>
      <scheme val="minor"/>
    </font>
    <font>
      <b/>
      <sz val="11"/>
      <name val="Calibri"/>
      <charset val="134"/>
      <scheme val="minor"/>
    </font>
    <font>
      <b/>
      <sz val="11"/>
      <color theme="1"/>
      <name val="Calibri"/>
      <charset val="134"/>
      <scheme val="minor"/>
    </font>
    <font>
      <b/>
      <sz val="11"/>
      <color rgb="FF000000"/>
      <name val="Arial"/>
      <charset val="134"/>
    </font>
    <font>
      <sz val="11"/>
      <color rgb="FF202124"/>
      <name val="Arial"/>
      <charset val="134"/>
    </font>
    <font>
      <sz val="11"/>
      <color rgb="FF000000"/>
      <name val="Arial"/>
      <charset val="134"/>
    </font>
    <font>
      <sz val="11"/>
      <color rgb="FF000000"/>
      <name val="Verdana"/>
      <charset val="134"/>
    </font>
    <font>
      <sz val="11"/>
      <name val="Calibri"/>
      <charset val="134"/>
      <scheme val="minor"/>
    </font>
    <font>
      <sz val="11"/>
      <color theme="1"/>
      <name val="Arial"/>
      <charset val="134"/>
    </font>
    <font>
      <sz val="12"/>
      <color rgb="FF202124"/>
      <name val="Arial"/>
      <charset val="134"/>
    </font>
    <font>
      <sz val="11"/>
      <color rgb="FFFF0000"/>
      <name val="Calibri"/>
      <charset val="134"/>
      <scheme val="minor"/>
    </font>
    <font>
      <b/>
      <sz val="12"/>
      <color rgb="FF202124"/>
      <name val="Arial"/>
      <charset val="134"/>
    </font>
    <font>
      <u/>
      <sz val="11"/>
      <color theme="1"/>
      <name val="Calibri"/>
      <charset val="134"/>
      <scheme val="minor"/>
    </font>
    <font>
      <b/>
      <sz val="12"/>
      <color theme="1"/>
      <name val="Arial"/>
      <charset val="134"/>
    </font>
    <font>
      <sz val="12"/>
      <color theme="1"/>
      <name val="Arial"/>
      <charset val="134"/>
    </font>
    <font>
      <sz val="12"/>
      <color rgb="FF000000"/>
      <name val="Arial"/>
      <charset val="1"/>
    </font>
    <font>
      <b/>
      <sz val="16"/>
      <color rgb="FF000000"/>
      <name val="Arial"/>
      <charset val="134"/>
    </font>
    <font>
      <b/>
      <sz val="14"/>
      <name val="Arial"/>
      <charset val="134"/>
    </font>
    <font>
      <b/>
      <sz val="12"/>
      <color rgb="FFFF0000"/>
      <name val="Arial"/>
      <charset val="134"/>
    </font>
    <font>
      <sz val="12"/>
      <color rgb="FFFF0000"/>
      <name val="Arial"/>
      <charset val="134"/>
    </font>
    <font>
      <b/>
      <sz val="12"/>
      <color rgb="FF000000"/>
      <name val="Calibri"/>
      <charset val="134"/>
    </font>
    <font>
      <sz val="10"/>
      <name val="Arial"/>
      <charset val="134"/>
    </font>
    <font>
      <sz val="11"/>
      <name val="Arial"/>
      <charset val="134"/>
    </font>
    <font>
      <b/>
      <sz val="16"/>
      <color rgb="FF000000"/>
      <name val="Calibri"/>
      <charset val="134"/>
    </font>
    <font>
      <b/>
      <sz val="11"/>
      <name val="Arial"/>
      <charset val="134"/>
    </font>
    <font>
      <b/>
      <sz val="12"/>
      <color rgb="FF000000"/>
      <name val="Verdana"/>
      <charset val="134"/>
    </font>
    <font>
      <sz val="12"/>
      <color rgb="FF000000"/>
      <name val="Verdana"/>
      <charset val="134"/>
    </font>
    <font>
      <sz val="10"/>
      <color rgb="FF000000"/>
      <name val="Arial"/>
      <charset val="134"/>
    </font>
    <font>
      <b/>
      <sz val="9"/>
      <color rgb="FF000000"/>
      <name val="Tahoma"/>
      <charset val="134"/>
    </font>
    <font>
      <b/>
      <sz val="9"/>
      <color rgb="FF000000"/>
      <name val="Segoe UI"/>
      <charset val="134"/>
    </font>
  </fonts>
  <fills count="44">
    <fill>
      <patternFill patternType="none"/>
    </fill>
    <fill>
      <patternFill patternType="gray125"/>
    </fill>
    <fill>
      <patternFill patternType="solid">
        <fgColor rgb="FF00B0F0"/>
        <bgColor rgb="FF009ED6"/>
      </patternFill>
    </fill>
    <fill>
      <patternFill patternType="solid">
        <fgColor rgb="FFFFFFFF"/>
        <bgColor rgb="FFFFFFCC"/>
      </patternFill>
    </fill>
    <fill>
      <patternFill patternType="solid">
        <fgColor rgb="FFD6DCE5"/>
        <bgColor rgb="FFD9D9D9"/>
      </patternFill>
    </fill>
    <fill>
      <patternFill patternType="solid">
        <fgColor rgb="FF00B0F0"/>
        <bgColor indexed="64"/>
      </patternFill>
    </fill>
    <fill>
      <patternFill patternType="solid">
        <fgColor rgb="FFA6A6A6"/>
        <bgColor rgb="FF9B9B9B"/>
      </patternFill>
    </fill>
    <fill>
      <patternFill patternType="solid">
        <fgColor rgb="FF0070C0"/>
        <bgColor rgb="FF0088B8"/>
      </patternFill>
    </fill>
    <fill>
      <patternFill patternType="solid">
        <fgColor rgb="FF7F7F7F"/>
        <bgColor rgb="FF8497B0"/>
      </patternFill>
    </fill>
    <fill>
      <patternFill patternType="solid">
        <fgColor rgb="FF9B9B9B"/>
        <bgColor rgb="FFA6A6A6"/>
      </patternFill>
    </fill>
    <fill>
      <patternFill patternType="solid">
        <fgColor rgb="FF009ED6"/>
        <bgColor rgb="FF0094C8"/>
      </patternFill>
    </fill>
    <fill>
      <patternFill patternType="solid">
        <fgColor rgb="FF0094C8"/>
        <bgColor rgb="FF009ED6"/>
      </patternFill>
    </fill>
    <fill>
      <patternFill patternType="solid">
        <fgColor rgb="FF0088B8"/>
        <bgColor rgb="FF0094C8"/>
      </patternFill>
    </fill>
    <fill>
      <patternFill patternType="solid">
        <fgColor rgb="FFD9D9D9"/>
        <bgColor rgb="FFD6DCE5"/>
      </patternFill>
    </fill>
    <fill>
      <patternFill patternType="solid">
        <fgColor rgb="FFFFFF00"/>
        <bgColor indexed="64"/>
      </patternFill>
    </fill>
    <fill>
      <patternFill patternType="solid">
        <fgColor theme="6"/>
        <bgColor indexed="64"/>
      </patternFill>
    </fill>
    <fill>
      <patternFill patternType="solid">
        <fgColor rgb="FFFFC000"/>
        <bgColor indexed="64"/>
      </patternFill>
    </fill>
    <fill>
      <patternFill patternType="solid">
        <fgColor rgb="FFFF0000"/>
        <bgColor indexed="64"/>
      </patternFill>
    </fill>
    <fill>
      <patternFill patternType="solid">
        <fgColor theme="4" tint="0.79985961485641044"/>
        <bgColor indexed="64"/>
      </patternFill>
    </fill>
    <fill>
      <patternFill patternType="solid">
        <fgColor theme="7" tint="0.59999389629810485"/>
        <bgColor indexed="64"/>
      </patternFill>
    </fill>
    <fill>
      <patternFill patternType="solid">
        <fgColor theme="5"/>
        <bgColor indexed="64"/>
      </patternFill>
    </fill>
    <fill>
      <patternFill patternType="solid">
        <fgColor rgb="FF92D050"/>
        <bgColor indexed="64"/>
      </patternFill>
    </fill>
    <fill>
      <patternFill patternType="solid">
        <fgColor theme="4"/>
        <bgColor indexed="64"/>
      </patternFill>
    </fill>
    <fill>
      <patternFill patternType="solid">
        <fgColor theme="0" tint="-0.14990691854609822"/>
        <bgColor rgb="FFCCC1DA"/>
      </patternFill>
    </fill>
    <fill>
      <patternFill patternType="solid">
        <fgColor theme="0" tint="-0.14990691854609822"/>
        <bgColor indexed="64"/>
      </patternFill>
    </fill>
    <fill>
      <patternFill patternType="solid">
        <fgColor theme="0" tint="-0.249977111117893"/>
        <bgColor rgb="FFCCC1DA"/>
      </patternFill>
    </fill>
    <fill>
      <patternFill patternType="solid">
        <fgColor theme="0" tint="-0.249977111117893"/>
        <bgColor indexed="64"/>
      </patternFill>
    </fill>
    <fill>
      <patternFill patternType="solid">
        <fgColor rgb="FFC0C0C0"/>
        <bgColor rgb="FFBFBFBF"/>
      </patternFill>
    </fill>
    <fill>
      <patternFill patternType="solid">
        <fgColor rgb="FFFFFFFF"/>
        <bgColor indexed="64"/>
      </patternFill>
    </fill>
    <fill>
      <patternFill patternType="solid">
        <fgColor rgb="FFBFBFBF"/>
        <bgColor rgb="FFC0C0C0"/>
      </patternFill>
    </fill>
    <fill>
      <patternFill patternType="solid">
        <fgColor theme="0" tint="-0.34998626667073579"/>
        <bgColor rgb="FFCCC1DA"/>
      </patternFill>
    </fill>
    <fill>
      <patternFill patternType="solid">
        <fgColor theme="0" tint="-0.34998626667073579"/>
        <bgColor indexed="64"/>
      </patternFill>
    </fill>
    <fill>
      <patternFill patternType="solid">
        <fgColor theme="0" tint="-0.249977111117893"/>
        <bgColor rgb="FFBFBFBF"/>
      </patternFill>
    </fill>
    <fill>
      <patternFill patternType="solid">
        <fgColor theme="5" tint="0.39985351115451523"/>
        <bgColor indexed="64"/>
      </patternFill>
    </fill>
    <fill>
      <patternFill patternType="solid">
        <fgColor rgb="FFCFCFCF"/>
        <bgColor rgb="FFD9D9D9"/>
      </patternFill>
    </fill>
    <fill>
      <patternFill patternType="solid">
        <fgColor rgb="FFCFCFCF"/>
        <bgColor indexed="64"/>
      </patternFill>
    </fill>
    <fill>
      <patternFill patternType="solid">
        <fgColor theme="0" tint="-0.1498764000366222"/>
        <bgColor rgb="FFD6DCE5"/>
      </patternFill>
    </fill>
    <fill>
      <patternFill patternType="solid">
        <fgColor rgb="FFFFFF00"/>
        <bgColor rgb="FFFFFF00"/>
      </patternFill>
    </fill>
    <fill>
      <patternFill patternType="solid">
        <fgColor theme="0" tint="-0.249977111117893"/>
        <bgColor rgb="FFFFFF00"/>
      </patternFill>
    </fill>
    <fill>
      <patternFill patternType="solid">
        <fgColor theme="0" tint="-0.14990691854609822"/>
        <bgColor rgb="FFFFFFCC"/>
      </patternFill>
    </fill>
    <fill>
      <patternFill patternType="solid">
        <fgColor theme="0" tint="-0.249977111117893"/>
        <bgColor rgb="FFFFFFCC"/>
      </patternFill>
    </fill>
    <fill>
      <patternFill patternType="solid">
        <fgColor theme="0" tint="-0.34998626667073579"/>
        <bgColor rgb="FFFFFFCC"/>
      </patternFill>
    </fill>
    <fill>
      <patternFill patternType="solid">
        <fgColor theme="0" tint="-0.34998626667073579"/>
        <bgColor rgb="FFBFBFBF"/>
      </patternFill>
    </fill>
    <fill>
      <patternFill patternType="solid">
        <fgColor theme="0" tint="-0.14990691854609822"/>
        <bgColor rgb="FFBFBFBF"/>
      </patternFill>
    </fill>
  </fills>
  <borders count="52">
    <border>
      <left/>
      <right/>
      <top/>
      <bottom/>
      <diagonal/>
    </border>
    <border>
      <left/>
      <right/>
      <top style="thin">
        <color rgb="FF00B0F0"/>
      </top>
      <bottom style="thin">
        <color rgb="FF00B0F0"/>
      </bottom>
      <diagonal/>
    </border>
    <border>
      <left/>
      <right/>
      <top style="thin">
        <color rgb="FF00B0F0"/>
      </top>
      <bottom/>
      <diagonal/>
    </border>
    <border>
      <left style="thin">
        <color auto="1"/>
      </left>
      <right style="thin">
        <color auto="1"/>
      </right>
      <top style="thin">
        <color auto="1"/>
      </top>
      <bottom style="thin">
        <color auto="1"/>
      </bottom>
      <diagonal/>
    </border>
    <border diagonalUp="1">
      <left/>
      <right style="thin">
        <color auto="1"/>
      </right>
      <top/>
      <bottom style="thin">
        <color auto="1"/>
      </bottom>
      <diagonal style="thin">
        <color auto="1"/>
      </diagonal>
    </border>
    <border>
      <left/>
      <right/>
      <top/>
      <bottom style="thin">
        <color rgb="FF00B0F0"/>
      </bottom>
      <diagonal/>
    </border>
    <border>
      <left/>
      <right/>
      <top style="thin">
        <color rgb="FF00B0F0"/>
      </top>
      <bottom style="thick">
        <color rgb="FF00B0F0"/>
      </bottom>
      <diagonal/>
    </border>
    <border>
      <left/>
      <right/>
      <top style="thick">
        <color rgb="FF00B0F0"/>
      </top>
      <bottom style="thin">
        <color rgb="FF00B0F0"/>
      </bottom>
      <diagonal/>
    </border>
    <border>
      <left/>
      <right/>
      <top style="medium">
        <color rgb="FF00B0F0"/>
      </top>
      <bottom style="thin">
        <color rgb="FF00B0F0"/>
      </bottom>
      <diagonal/>
    </border>
    <border>
      <left/>
      <right/>
      <top/>
      <bottom style="thin">
        <color rgb="FF5B9BD5"/>
      </bottom>
      <diagonal/>
    </border>
    <border>
      <left/>
      <right/>
      <top style="thin">
        <color rgb="FF5B9BD5"/>
      </top>
      <bottom/>
      <diagonal/>
    </border>
    <border>
      <left/>
      <right/>
      <top style="thick">
        <color rgb="FF00B0F0"/>
      </top>
      <bottom/>
      <diagonal/>
    </border>
    <border>
      <left/>
      <right/>
      <top style="thick">
        <color rgb="FF00B0F0"/>
      </top>
      <bottom style="thin">
        <color rgb="FF5B9BD5"/>
      </bottom>
      <diagonal/>
    </border>
    <border>
      <left/>
      <right/>
      <top style="thin">
        <color rgb="FFFFFFFF"/>
      </top>
      <bottom style="thin">
        <color rgb="FFFFFFFF"/>
      </bottom>
      <diagonal/>
    </border>
    <border>
      <left/>
      <right/>
      <top/>
      <bottom style="thick">
        <color rgb="FF00B0F0"/>
      </bottom>
      <diagonal/>
    </border>
    <border>
      <left/>
      <right/>
      <top/>
      <bottom style="medium">
        <color rgb="FF00B0F0"/>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rgb="FF8497B0"/>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hair">
        <color auto="1"/>
      </left>
      <right style="hair">
        <color auto="1"/>
      </right>
      <top style="hair">
        <color auto="1"/>
      </top>
      <bottom style="hair">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top/>
      <bottom/>
      <diagonal/>
    </border>
    <border>
      <left/>
      <right style="thin">
        <color auto="1"/>
      </right>
      <top/>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bottom style="thick">
        <color rgb="FF5B9BD5"/>
      </bottom>
      <diagonal/>
    </border>
  </borders>
  <cellStyleXfs count="12">
    <xf numFmtId="0" fontId="0" fillId="0" borderId="0"/>
    <xf numFmtId="0" fontId="56" fillId="0" borderId="0"/>
    <xf numFmtId="9" fontId="11" fillId="0" borderId="0" applyBorder="0" applyProtection="0"/>
    <xf numFmtId="167" fontId="11" fillId="0" borderId="0" applyBorder="0" applyProtection="0"/>
    <xf numFmtId="0" fontId="11" fillId="0" borderId="0"/>
    <xf numFmtId="0" fontId="15" fillId="0" borderId="51" applyProtection="0"/>
    <xf numFmtId="0" fontId="29" fillId="0" borderId="0"/>
    <xf numFmtId="9" fontId="11" fillId="0" borderId="0" applyBorder="0" applyProtection="0"/>
    <xf numFmtId="0" fontId="11" fillId="0" borderId="0"/>
    <xf numFmtId="0" fontId="11" fillId="0" borderId="0"/>
    <xf numFmtId="9" fontId="11" fillId="0" borderId="0" applyBorder="0" applyProtection="0"/>
    <xf numFmtId="0" fontId="29" fillId="0" borderId="0"/>
  </cellStyleXfs>
  <cellXfs count="1263">
    <xf numFmtId="0" fontId="0" fillId="0" borderId="0" xfId="0"/>
    <xf numFmtId="0" fontId="0" fillId="0" borderId="0" xfId="0" applyFont="1"/>
    <xf numFmtId="0" fontId="0" fillId="0" borderId="0" xfId="0" applyFont="1" applyAlignment="1"/>
    <xf numFmtId="2" fontId="0" fillId="0" borderId="0" xfId="0" applyNumberFormat="1" applyFont="1" applyAlignment="1">
      <alignment horizontal="right"/>
    </xf>
    <xf numFmtId="0" fontId="1" fillId="0" borderId="0" xfId="0" applyFont="1" applyAlignment="1">
      <alignment vertical="center"/>
    </xf>
    <xf numFmtId="0" fontId="2" fillId="0" borderId="0" xfId="0" applyFont="1" applyBorder="1" applyAlignment="1">
      <alignment horizontal="left" indent="4"/>
    </xf>
    <xf numFmtId="0" fontId="3" fillId="0" borderId="0" xfId="5" applyFont="1" applyBorder="1" applyAlignment="1" applyProtection="1">
      <alignment horizontal="left" indent="4"/>
    </xf>
    <xf numFmtId="0" fontId="4" fillId="0" borderId="0" xfId="0" applyFont="1" applyAlignment="1">
      <alignment horizontal="left"/>
    </xf>
    <xf numFmtId="0" fontId="4" fillId="0" borderId="0" xfId="0" applyFont="1" applyAlignment="1">
      <alignment horizontal="left" indent="4"/>
    </xf>
    <xf numFmtId="0" fontId="5" fillId="0" borderId="0" xfId="0" applyFont="1" applyBorder="1" applyAlignment="1">
      <alignment horizontal="left" indent="1"/>
    </xf>
    <xf numFmtId="165" fontId="6" fillId="0" borderId="0" xfId="0" applyNumberFormat="1" applyFont="1" applyBorder="1" applyAlignment="1">
      <alignment horizontal="left" indent="4"/>
    </xf>
    <xf numFmtId="0" fontId="2" fillId="0" borderId="0" xfId="0" applyFont="1" applyBorder="1" applyAlignment="1">
      <alignment horizontal="left" indent="11"/>
    </xf>
    <xf numFmtId="0" fontId="4" fillId="0" borderId="0" xfId="0" applyFont="1" applyAlignment="1"/>
    <xf numFmtId="0" fontId="4" fillId="0" borderId="0" xfId="0" applyFont="1"/>
    <xf numFmtId="0" fontId="7" fillId="2" borderId="1" xfId="5" applyFont="1" applyFill="1" applyBorder="1" applyAlignment="1" applyProtection="1">
      <alignment horizontal="center" vertical="center" wrapText="1"/>
    </xf>
    <xf numFmtId="0" fontId="8" fillId="3" borderId="1" xfId="5" applyFont="1" applyFill="1" applyBorder="1" applyAlignment="1" applyProtection="1">
      <alignment horizontal="left" vertical="center" indent="1"/>
    </xf>
    <xf numFmtId="2" fontId="8" fillId="4" borderId="1" xfId="5" applyNumberFormat="1" applyFont="1" applyFill="1" applyBorder="1" applyAlignment="1" applyProtection="1">
      <alignment horizontal="center" vertical="center"/>
      <protection locked="0"/>
    </xf>
    <xf numFmtId="169" fontId="8" fillId="4" borderId="1" xfId="5" applyNumberFormat="1" applyFont="1" applyFill="1" applyBorder="1" applyAlignment="1" applyProtection="1">
      <alignment horizontal="center" vertical="center"/>
      <protection locked="0"/>
    </xf>
    <xf numFmtId="2" fontId="8" fillId="3" borderId="1" xfId="5" applyNumberFormat="1" applyFont="1" applyFill="1" applyBorder="1" applyAlignment="1" applyProtection="1">
      <alignment horizontal="center" vertical="center"/>
    </xf>
    <xf numFmtId="0" fontId="0" fillId="3" borderId="1" xfId="0" applyFont="1" applyFill="1" applyBorder="1" applyAlignment="1">
      <alignment horizontal="left" indent="1"/>
    </xf>
    <xf numFmtId="2" fontId="0" fillId="4" borderId="1" xfId="0" applyNumberFormat="1" applyFont="1" applyFill="1" applyBorder="1" applyAlignment="1" applyProtection="1">
      <alignment horizontal="center"/>
      <protection locked="0"/>
    </xf>
    <xf numFmtId="0" fontId="9" fillId="3" borderId="2" xfId="0" applyFont="1" applyFill="1" applyBorder="1" applyAlignment="1">
      <alignment horizontal="center"/>
    </xf>
    <xf numFmtId="2" fontId="9" fillId="3" borderId="2" xfId="0" applyNumberFormat="1" applyFont="1" applyFill="1" applyBorder="1"/>
    <xf numFmtId="0" fontId="9" fillId="3" borderId="1" xfId="0" applyFont="1" applyFill="1" applyBorder="1" applyAlignment="1">
      <alignment horizontal="center"/>
    </xf>
    <xf numFmtId="2" fontId="9" fillId="3" borderId="1" xfId="0" applyNumberFormat="1" applyFont="1" applyFill="1" applyBorder="1" applyAlignment="1">
      <alignment horizontal="center"/>
    </xf>
    <xf numFmtId="2" fontId="10" fillId="3" borderId="1" xfId="5" applyNumberFormat="1" applyFont="1" applyFill="1" applyBorder="1" applyAlignment="1" applyProtection="1">
      <alignment horizontal="center" vertical="center"/>
    </xf>
    <xf numFmtId="0" fontId="9" fillId="3" borderId="0" xfId="0" applyFont="1" applyFill="1" applyBorder="1" applyAlignment="1">
      <alignment horizontal="center"/>
    </xf>
    <xf numFmtId="2" fontId="9" fillId="3" borderId="0" xfId="0" applyNumberFormat="1" applyFont="1" applyFill="1" applyBorder="1"/>
    <xf numFmtId="2" fontId="9" fillId="3" borderId="0" xfId="0" applyNumberFormat="1" applyFont="1" applyFill="1" applyBorder="1" applyAlignment="1">
      <alignment horizontal="center"/>
    </xf>
    <xf numFmtId="2" fontId="10" fillId="3" borderId="0" xfId="5" applyNumberFormat="1" applyFont="1" applyFill="1" applyBorder="1" applyAlignment="1" applyProtection="1">
      <alignment horizontal="center" vertical="center"/>
    </xf>
    <xf numFmtId="0" fontId="0" fillId="3" borderId="0" xfId="0" applyFont="1" applyFill="1" applyAlignment="1">
      <alignment horizontal="center" vertical="center"/>
    </xf>
    <xf numFmtId="2" fontId="0" fillId="3" borderId="1" xfId="0" applyNumberFormat="1" applyFont="1" applyFill="1" applyBorder="1" applyAlignment="1">
      <alignment horizontal="center"/>
    </xf>
    <xf numFmtId="0" fontId="11" fillId="0" borderId="3" xfId="0" applyFont="1" applyBorder="1" applyAlignment="1">
      <alignment horizontal="left"/>
    </xf>
    <xf numFmtId="0" fontId="0" fillId="0" borderId="0" xfId="0" applyFont="1" applyAlignment="1">
      <alignment horizontal="center"/>
    </xf>
    <xf numFmtId="0" fontId="0" fillId="0" borderId="0" xfId="0" applyFont="1" applyBorder="1"/>
    <xf numFmtId="0" fontId="0" fillId="0" borderId="0" xfId="0" applyFont="1" applyAlignment="1">
      <alignment horizontal="left"/>
    </xf>
    <xf numFmtId="0" fontId="12" fillId="0" borderId="0" xfId="0" applyFont="1"/>
    <xf numFmtId="0" fontId="0" fillId="3" borderId="0" xfId="0" applyFont="1" applyFill="1"/>
    <xf numFmtId="0" fontId="9" fillId="0" borderId="0" xfId="0" applyFont="1" applyFill="1" applyBorder="1" applyAlignment="1">
      <alignment vertical="center"/>
    </xf>
    <xf numFmtId="0" fontId="0" fillId="0" borderId="3" xfId="0" applyFont="1" applyBorder="1" applyAlignment="1">
      <alignment horizontal="center"/>
    </xf>
    <xf numFmtId="0" fontId="0" fillId="0" borderId="0" xfId="0" applyAlignment="1"/>
    <xf numFmtId="2" fontId="0" fillId="0" borderId="0" xfId="0" applyNumberFormat="1" applyAlignment="1">
      <alignment horizontal="right"/>
    </xf>
    <xf numFmtId="0" fontId="7" fillId="2" borderId="0" xfId="0" applyFont="1" applyFill="1" applyAlignment="1">
      <alignment horizontal="center" vertical="center" wrapText="1"/>
    </xf>
    <xf numFmtId="0" fontId="7" fillId="2" borderId="1" xfId="0" applyFont="1" applyFill="1" applyBorder="1" applyAlignment="1">
      <alignment horizontal="center" vertical="center" wrapText="1"/>
    </xf>
    <xf numFmtId="0" fontId="0" fillId="3" borderId="0" xfId="0" applyFill="1"/>
    <xf numFmtId="0" fontId="0" fillId="3" borderId="1" xfId="0" applyFont="1" applyFill="1" applyBorder="1" applyAlignment="1">
      <alignment horizontal="left" vertical="center" indent="1"/>
    </xf>
    <xf numFmtId="0" fontId="0" fillId="4" borderId="5" xfId="0" applyFill="1" applyBorder="1" applyAlignment="1">
      <alignment horizontal="left" indent="9"/>
    </xf>
    <xf numFmtId="2" fontId="0" fillId="3" borderId="1" xfId="0" applyNumberFormat="1" applyFill="1" applyBorder="1" applyAlignment="1">
      <alignment horizontal="left" indent="9"/>
    </xf>
    <xf numFmtId="0" fontId="0" fillId="0" borderId="1" xfId="0" applyBorder="1" applyAlignment="1">
      <alignment horizontal="left" indent="12"/>
    </xf>
    <xf numFmtId="2" fontId="0" fillId="0" borderId="1" xfId="0" applyNumberFormat="1" applyBorder="1" applyAlignment="1">
      <alignment horizontal="left" indent="5"/>
    </xf>
    <xf numFmtId="0" fontId="0" fillId="0" borderId="1" xfId="0" applyFont="1" applyBorder="1" applyAlignment="1">
      <alignment horizontal="left" indent="1"/>
    </xf>
    <xf numFmtId="0" fontId="0" fillId="0" borderId="0" xfId="0" applyBorder="1" applyAlignment="1">
      <alignment horizontal="left" indent="1"/>
    </xf>
    <xf numFmtId="0" fontId="0" fillId="0" borderId="0" xfId="0" applyBorder="1" applyAlignment="1">
      <alignment horizontal="left" indent="9"/>
    </xf>
    <xf numFmtId="2" fontId="0" fillId="0" borderId="0" xfId="0" applyNumberFormat="1" applyBorder="1" applyAlignment="1">
      <alignment horizontal="left" indent="9"/>
    </xf>
    <xf numFmtId="0" fontId="9" fillId="0" borderId="1" xfId="0" applyFont="1" applyBorder="1" applyAlignment="1">
      <alignment horizontal="center"/>
    </xf>
    <xf numFmtId="2" fontId="9" fillId="0" borderId="1" xfId="0" applyNumberFormat="1" applyFont="1" applyBorder="1" applyAlignment="1">
      <alignment horizontal="center"/>
    </xf>
    <xf numFmtId="0" fontId="0" fillId="0" borderId="0" xfId="0" applyBorder="1" applyAlignment="1">
      <alignment horizontal="left" indent="12"/>
    </xf>
    <xf numFmtId="2" fontId="0" fillId="0" borderId="0" xfId="0" applyNumberFormat="1" applyBorder="1" applyAlignment="1">
      <alignment horizontal="left" indent="5"/>
    </xf>
    <xf numFmtId="0" fontId="7" fillId="2" borderId="2" xfId="0" applyFont="1" applyFill="1" applyBorder="1" applyAlignment="1">
      <alignment horizontal="center" vertical="center" wrapText="1"/>
    </xf>
    <xf numFmtId="2" fontId="0" fillId="3" borderId="5" xfId="0" applyNumberFormat="1" applyFill="1" applyBorder="1" applyAlignment="1">
      <alignment horizontal="left" indent="9"/>
    </xf>
    <xf numFmtId="0" fontId="0" fillId="0" borderId="5" xfId="0" applyBorder="1" applyAlignment="1">
      <alignment horizontal="left" indent="12"/>
    </xf>
    <xf numFmtId="2" fontId="0" fillId="0" borderId="5" xfId="0" applyNumberFormat="1" applyBorder="1" applyAlignment="1">
      <alignment horizontal="left" indent="5"/>
    </xf>
    <xf numFmtId="2" fontId="0" fillId="0" borderId="1" xfId="0" applyNumberFormat="1" applyBorder="1" applyAlignment="1">
      <alignment horizontal="center"/>
    </xf>
    <xf numFmtId="0" fontId="9" fillId="0" borderId="1" xfId="0" applyFont="1" applyBorder="1" applyAlignment="1">
      <alignment horizontal="left" indent="1"/>
    </xf>
    <xf numFmtId="0" fontId="0" fillId="0" borderId="0" xfId="0" applyAlignment="1">
      <alignment horizontal="left"/>
    </xf>
    <xf numFmtId="0" fontId="0" fillId="3" borderId="0" xfId="0" applyFont="1" applyFill="1" applyBorder="1" applyAlignment="1">
      <alignment horizontal="left" vertical="center" indent="1"/>
    </xf>
    <xf numFmtId="0" fontId="0" fillId="3" borderId="0" xfId="0" applyFont="1" applyFill="1" applyBorder="1" applyAlignment="1" applyProtection="1">
      <alignment horizontal="center" vertical="center"/>
    </xf>
    <xf numFmtId="0" fontId="0" fillId="3" borderId="0" xfId="0" applyFont="1" applyFill="1" applyBorder="1" applyAlignment="1">
      <alignment horizontal="center" vertical="center"/>
    </xf>
    <xf numFmtId="0" fontId="0" fillId="4" borderId="1" xfId="0" applyFill="1" applyBorder="1" applyAlignment="1" applyProtection="1">
      <alignment horizontal="center" vertical="center"/>
      <protection locked="0"/>
    </xf>
    <xf numFmtId="0" fontId="9" fillId="0" borderId="1" xfId="0" applyFont="1" applyBorder="1" applyAlignment="1">
      <alignment horizontal="center" vertical="center"/>
    </xf>
    <xf numFmtId="0" fontId="0" fillId="0" borderId="0" xfId="0" applyFont="1" applyAlignment="1">
      <alignment horizontal="center" vertical="center"/>
    </xf>
    <xf numFmtId="0" fontId="8" fillId="0" borderId="1" xfId="0" applyFont="1" applyBorder="1" applyAlignment="1">
      <alignment horizontal="center" vertical="center"/>
    </xf>
    <xf numFmtId="0" fontId="8" fillId="4" borderId="1" xfId="0" applyFont="1" applyFill="1" applyBorder="1" applyAlignment="1" applyProtection="1">
      <alignment horizontal="center" vertical="center"/>
      <protection locked="0"/>
    </xf>
    <xf numFmtId="0" fontId="10" fillId="0" borderId="1" xfId="0" applyFont="1" applyBorder="1" applyAlignment="1">
      <alignment horizontal="center" vertical="center"/>
    </xf>
    <xf numFmtId="0" fontId="7" fillId="6" borderId="0" xfId="5" applyFont="1" applyFill="1" applyBorder="1" applyAlignment="1" applyProtection="1">
      <alignment horizontal="left" vertical="center" indent="9"/>
    </xf>
    <xf numFmtId="0" fontId="7" fillId="6" borderId="0" xfId="5" applyFont="1" applyFill="1" applyBorder="1" applyAlignment="1" applyProtection="1">
      <alignment horizontal="center" vertical="center" wrapText="1"/>
    </xf>
    <xf numFmtId="0" fontId="7" fillId="0" borderId="0" xfId="5" applyFont="1" applyBorder="1" applyAlignment="1" applyProtection="1">
      <alignment horizontal="center" vertical="center" wrapText="1"/>
    </xf>
    <xf numFmtId="0" fontId="7" fillId="2" borderId="5" xfId="5" applyFont="1" applyFill="1" applyBorder="1" applyAlignment="1" applyProtection="1">
      <alignment horizontal="center" vertical="center" wrapText="1"/>
    </xf>
    <xf numFmtId="2" fontId="0" fillId="4" borderId="1" xfId="0" applyNumberFormat="1" applyFill="1" applyBorder="1" applyAlignment="1" applyProtection="1">
      <alignment horizontal="center"/>
      <protection locked="0"/>
    </xf>
    <xf numFmtId="0" fontId="9" fillId="0" borderId="1" xfId="0" applyFont="1" applyBorder="1"/>
    <xf numFmtId="0" fontId="9" fillId="0" borderId="0" xfId="0" applyFont="1" applyBorder="1"/>
    <xf numFmtId="0" fontId="9" fillId="0" borderId="0" xfId="0" applyFont="1" applyBorder="1" applyAlignment="1">
      <alignment horizontal="center"/>
    </xf>
    <xf numFmtId="0" fontId="0" fillId="3" borderId="1" xfId="0" applyFont="1" applyFill="1" applyBorder="1" applyAlignment="1" applyProtection="1">
      <alignment horizontal="center" vertical="center"/>
    </xf>
    <xf numFmtId="0" fontId="0" fillId="3" borderId="1" xfId="0" applyFont="1" applyFill="1" applyBorder="1" applyAlignment="1">
      <alignment horizontal="center" vertical="center"/>
    </xf>
    <xf numFmtId="170" fontId="0" fillId="0" borderId="0" xfId="0" applyNumberFormat="1"/>
    <xf numFmtId="2" fontId="0" fillId="4" borderId="1" xfId="0" applyNumberFormat="1" applyFill="1" applyBorder="1" applyAlignment="1" applyProtection="1">
      <alignment horizontal="left" indent="7"/>
      <protection locked="0"/>
    </xf>
    <xf numFmtId="171" fontId="0" fillId="0" borderId="0" xfId="0" applyNumberFormat="1"/>
    <xf numFmtId="2" fontId="0" fillId="4" borderId="1" xfId="0" applyNumberFormat="1" applyFill="1" applyBorder="1" applyAlignment="1" applyProtection="1">
      <alignment horizontal="left" indent="12"/>
      <protection locked="0"/>
    </xf>
    <xf numFmtId="0" fontId="9" fillId="0" borderId="1" xfId="0" applyNumberFormat="1" applyFont="1" applyBorder="1" applyAlignment="1">
      <alignment horizontal="center"/>
    </xf>
    <xf numFmtId="0" fontId="13" fillId="0" borderId="0" xfId="0" applyFont="1"/>
    <xf numFmtId="0" fontId="0" fillId="0" borderId="0" xfId="0" applyAlignment="1">
      <alignment vertical="center"/>
    </xf>
    <xf numFmtId="0" fontId="7" fillId="2" borderId="5" xfId="0" applyFont="1" applyFill="1" applyBorder="1" applyAlignment="1">
      <alignment horizontal="center" vertical="center"/>
    </xf>
    <xf numFmtId="0" fontId="7" fillId="2" borderId="5" xfId="0" applyFont="1" applyFill="1" applyBorder="1" applyAlignment="1">
      <alignment horizontal="center" vertical="center" wrapText="1"/>
    </xf>
    <xf numFmtId="2" fontId="7" fillId="2" borderId="5" xfId="0" applyNumberFormat="1" applyFont="1" applyFill="1" applyBorder="1" applyAlignment="1">
      <alignment horizontal="center" vertical="center" wrapText="1"/>
    </xf>
    <xf numFmtId="0" fontId="0" fillId="3" borderId="1" xfId="0" applyFont="1" applyFill="1" applyBorder="1" applyAlignment="1" applyProtection="1">
      <alignment horizontal="left" vertical="center" indent="1"/>
      <protection locked="0"/>
    </xf>
    <xf numFmtId="0" fontId="0" fillId="0" borderId="1" xfId="0" applyFont="1" applyBorder="1" applyProtection="1">
      <protection locked="0"/>
    </xf>
    <xf numFmtId="0" fontId="0" fillId="4" borderId="1" xfId="0" applyFill="1" applyBorder="1" applyAlignment="1">
      <alignment horizontal="center" vertical="center"/>
    </xf>
    <xf numFmtId="2" fontId="0" fillId="4" borderId="1" xfId="0" applyNumberFormat="1" applyFont="1" applyFill="1" applyBorder="1" applyAlignment="1" applyProtection="1">
      <alignment horizontal="left" indent="7"/>
      <protection locked="0"/>
    </xf>
    <xf numFmtId="2" fontId="0" fillId="4" borderId="1" xfId="0" applyNumberFormat="1" applyFill="1" applyBorder="1" applyAlignment="1">
      <alignment horizontal="center" vertical="center"/>
    </xf>
    <xf numFmtId="2" fontId="14" fillId="4" borderId="1" xfId="0" applyNumberFormat="1" applyFont="1" applyFill="1" applyBorder="1" applyAlignment="1" applyProtection="1">
      <alignment horizontal="left" vertical="center" indent="7"/>
      <protection locked="0"/>
    </xf>
    <xf numFmtId="0" fontId="0" fillId="3" borderId="2" xfId="0" applyFont="1" applyFill="1" applyBorder="1" applyAlignment="1" applyProtection="1">
      <alignment horizontal="left" vertical="center" indent="1"/>
      <protection locked="0"/>
    </xf>
    <xf numFmtId="0" fontId="0" fillId="0" borderId="2" xfId="0" applyFont="1" applyBorder="1" applyProtection="1">
      <protection locked="0"/>
    </xf>
    <xf numFmtId="2" fontId="0" fillId="4" borderId="2" xfId="0" applyNumberFormat="1" applyFont="1" applyFill="1" applyBorder="1" applyAlignment="1" applyProtection="1">
      <alignment horizontal="left" indent="7"/>
      <protection locked="0"/>
    </xf>
    <xf numFmtId="2" fontId="0" fillId="4" borderId="1" xfId="0" applyNumberFormat="1" applyFill="1" applyBorder="1" applyAlignment="1">
      <alignment horizontal="left" vertical="center" indent="7"/>
    </xf>
    <xf numFmtId="0" fontId="0" fillId="0" borderId="6" xfId="0" applyFont="1" applyBorder="1" applyAlignment="1">
      <alignment horizontal="left" indent="1"/>
    </xf>
    <xf numFmtId="0" fontId="0" fillId="4" borderId="6" xfId="0" applyFill="1" applyBorder="1" applyAlignment="1">
      <alignment horizontal="center" vertical="center"/>
    </xf>
    <xf numFmtId="2" fontId="0" fillId="4" borderId="6" xfId="0" applyNumberFormat="1" applyFill="1" applyBorder="1" applyAlignment="1">
      <alignment horizontal="left" vertical="center" indent="7"/>
    </xf>
    <xf numFmtId="2" fontId="0" fillId="4" borderId="6" xfId="0" applyNumberFormat="1" applyFill="1" applyBorder="1" applyAlignment="1">
      <alignment horizontal="center" vertical="center"/>
    </xf>
    <xf numFmtId="0" fontId="9" fillId="0" borderId="7" xfId="0" applyFont="1" applyBorder="1" applyAlignment="1">
      <alignment horizontal="center"/>
    </xf>
    <xf numFmtId="0" fontId="7" fillId="2" borderId="0" xfId="0" applyFont="1" applyFill="1" applyBorder="1" applyAlignment="1">
      <alignment horizontal="center" vertical="center" wrapText="1"/>
    </xf>
    <xf numFmtId="164" fontId="0" fillId="3" borderId="1" xfId="0" applyNumberFormat="1" applyFont="1" applyFill="1" applyBorder="1" applyAlignment="1" applyProtection="1">
      <alignment horizontal="center" vertical="center"/>
    </xf>
    <xf numFmtId="164" fontId="9" fillId="0" borderId="7" xfId="0" applyNumberFormat="1" applyFont="1" applyBorder="1" applyAlignment="1">
      <alignment horizontal="center"/>
    </xf>
    <xf numFmtId="0" fontId="2" fillId="0" borderId="0" xfId="0" applyFont="1" applyBorder="1" applyAlignment="1">
      <alignment horizontal="left" indent="7"/>
    </xf>
    <xf numFmtId="0" fontId="0" fillId="3" borderId="1" xfId="0" applyFont="1" applyFill="1" applyBorder="1" applyAlignment="1" applyProtection="1">
      <alignment vertical="center"/>
      <protection locked="0"/>
    </xf>
    <xf numFmtId="0" fontId="0" fillId="4" borderId="7" xfId="0" applyFill="1" applyBorder="1" applyAlignment="1" applyProtection="1">
      <alignment horizontal="center"/>
      <protection locked="0"/>
    </xf>
    <xf numFmtId="164" fontId="0" fillId="3" borderId="5" xfId="0" applyNumberFormat="1" applyFont="1" applyFill="1" applyBorder="1" applyAlignment="1" applyProtection="1">
      <alignment horizontal="left" vertical="center" indent="5"/>
    </xf>
    <xf numFmtId="0" fontId="0" fillId="4" borderId="1" xfId="0" applyFill="1" applyBorder="1" applyAlignment="1" applyProtection="1">
      <alignment horizontal="center"/>
      <protection locked="0"/>
    </xf>
    <xf numFmtId="164" fontId="0" fillId="3" borderId="1" xfId="0" applyNumberFormat="1" applyFont="1" applyFill="1" applyBorder="1" applyAlignment="1" applyProtection="1">
      <alignment horizontal="left" vertical="center" indent="5"/>
    </xf>
    <xf numFmtId="165" fontId="14" fillId="4" borderId="1" xfId="0" applyNumberFormat="1" applyFont="1" applyFill="1" applyBorder="1" applyAlignment="1" applyProtection="1">
      <alignment horizontal="center" vertical="center"/>
      <protection locked="0"/>
    </xf>
    <xf numFmtId="0" fontId="0" fillId="3" borderId="8" xfId="0" applyFont="1" applyFill="1" applyBorder="1" applyAlignment="1" applyProtection="1">
      <alignment horizontal="left" vertical="center" indent="1"/>
      <protection locked="0"/>
    </xf>
    <xf numFmtId="0" fontId="0" fillId="0" borderId="8" xfId="0" applyFont="1" applyBorder="1" applyProtection="1">
      <protection locked="0"/>
    </xf>
    <xf numFmtId="2" fontId="0" fillId="4" borderId="8" xfId="0" applyNumberFormat="1" applyFont="1" applyFill="1" applyBorder="1" applyAlignment="1" applyProtection="1">
      <alignment horizontal="left" indent="7"/>
      <protection locked="0"/>
    </xf>
    <xf numFmtId="0" fontId="0" fillId="0" borderId="1" xfId="0" applyFont="1" applyBorder="1"/>
    <xf numFmtId="164" fontId="9" fillId="3" borderId="1" xfId="0" applyNumberFormat="1" applyFont="1" applyFill="1" applyBorder="1" applyAlignment="1">
      <alignment horizontal="left" indent="5"/>
    </xf>
    <xf numFmtId="0" fontId="0" fillId="0" borderId="0" xfId="0" applyFont="1" applyAlignment="1">
      <alignment vertical="center"/>
    </xf>
    <xf numFmtId="0" fontId="15" fillId="3" borderId="9" xfId="5" applyFont="1" applyFill="1" applyBorder="1" applyAlignment="1" applyProtection="1"/>
    <xf numFmtId="0" fontId="15" fillId="0" borderId="9" xfId="5" applyFont="1" applyBorder="1" applyAlignment="1" applyProtection="1"/>
    <xf numFmtId="0" fontId="16" fillId="0" borderId="10" xfId="5" applyFont="1" applyBorder="1" applyAlignment="1" applyProtection="1"/>
    <xf numFmtId="0" fontId="7" fillId="7" borderId="0" xfId="0" applyFont="1" applyFill="1" applyBorder="1" applyAlignment="1">
      <alignment horizontal="center" vertical="center"/>
    </xf>
    <xf numFmtId="0" fontId="7" fillId="2" borderId="0" xfId="0" applyFont="1" applyFill="1" applyAlignment="1">
      <alignment horizontal="center" vertical="center"/>
    </xf>
    <xf numFmtId="0" fontId="7" fillId="2" borderId="0" xfId="0" applyFont="1" applyFill="1" applyAlignment="1">
      <alignment vertical="center"/>
    </xf>
    <xf numFmtId="172" fontId="9" fillId="3" borderId="1" xfId="0" applyNumberFormat="1" applyFont="1" applyFill="1" applyBorder="1" applyAlignment="1" applyProtection="1">
      <alignment vertical="center"/>
      <protection locked="0"/>
    </xf>
    <xf numFmtId="2" fontId="0" fillId="3" borderId="1" xfId="0" applyNumberFormat="1" applyFont="1" applyFill="1" applyBorder="1" applyAlignment="1">
      <alignment horizontal="left" vertical="center" indent="1"/>
    </xf>
    <xf numFmtId="0" fontId="9" fillId="3" borderId="1" xfId="0" applyFont="1" applyFill="1" applyBorder="1" applyAlignment="1" applyProtection="1">
      <alignment horizontal="center" vertical="center"/>
    </xf>
    <xf numFmtId="2" fontId="9" fillId="3" borderId="1" xfId="0" applyNumberFormat="1" applyFont="1" applyFill="1" applyBorder="1" applyAlignment="1" applyProtection="1">
      <alignment horizontal="center" vertical="center"/>
    </xf>
    <xf numFmtId="2" fontId="4" fillId="0" borderId="0" xfId="0" applyNumberFormat="1" applyFont="1"/>
    <xf numFmtId="2" fontId="0" fillId="0" borderId="0" xfId="0" applyNumberFormat="1"/>
    <xf numFmtId="0" fontId="17" fillId="8" borderId="0" xfId="0" applyFont="1" applyFill="1" applyBorder="1"/>
    <xf numFmtId="0" fontId="7" fillId="8" borderId="0" xfId="0" applyFont="1" applyFill="1" applyBorder="1" applyAlignment="1">
      <alignment horizontal="center" vertical="center"/>
    </xf>
    <xf numFmtId="0" fontId="7" fillId="8" borderId="0" xfId="0" applyFont="1" applyFill="1" applyBorder="1" applyAlignment="1">
      <alignment horizontal="left" vertical="center"/>
    </xf>
    <xf numFmtId="0" fontId="7" fillId="7" borderId="0" xfId="0" applyFont="1" applyFill="1" applyBorder="1" applyAlignment="1">
      <alignment horizontal="left" vertical="center" indent="9"/>
    </xf>
    <xf numFmtId="0" fontId="0" fillId="3" borderId="0" xfId="0" applyFill="1" applyBorder="1"/>
    <xf numFmtId="0" fontId="7" fillId="6" borderId="0" xfId="0" applyFont="1" applyFill="1" applyBorder="1" applyAlignment="1">
      <alignment horizontal="left" vertical="center" indent="15"/>
    </xf>
    <xf numFmtId="0" fontId="7" fillId="6" borderId="0" xfId="0" applyFont="1" applyFill="1" applyBorder="1" applyAlignment="1">
      <alignment horizontal="center" vertical="center"/>
    </xf>
    <xf numFmtId="0" fontId="17" fillId="6" borderId="0" xfId="0" applyFont="1" applyFill="1" applyBorder="1"/>
    <xf numFmtId="2" fontId="7" fillId="6" borderId="0" xfId="0" applyNumberFormat="1" applyFont="1" applyFill="1" applyBorder="1" applyAlignment="1">
      <alignment horizontal="center" vertical="center"/>
    </xf>
    <xf numFmtId="2" fontId="17" fillId="6" borderId="0" xfId="0" applyNumberFormat="1" applyFont="1" applyFill="1" applyBorder="1"/>
    <xf numFmtId="0" fontId="7" fillId="2" borderId="0" xfId="0" applyFont="1" applyFill="1" applyBorder="1" applyAlignment="1">
      <alignment horizontal="left" vertical="center" indent="11"/>
    </xf>
    <xf numFmtId="0" fontId="7" fillId="6" borderId="5" xfId="0" applyFont="1" applyFill="1" applyBorder="1" applyAlignment="1">
      <alignment horizontal="center" vertical="center"/>
    </xf>
    <xf numFmtId="2" fontId="7" fillId="6" borderId="5" xfId="0" applyNumberFormat="1" applyFont="1" applyFill="1" applyBorder="1" applyAlignment="1">
      <alignment horizontal="center" vertical="center" wrapText="1"/>
    </xf>
    <xf numFmtId="0" fontId="7" fillId="6" borderId="5" xfId="0" applyFont="1" applyFill="1" applyBorder="1" applyAlignment="1">
      <alignment horizontal="center" vertical="center" wrapText="1"/>
    </xf>
    <xf numFmtId="0" fontId="0" fillId="3" borderId="5" xfId="0" applyFont="1" applyFill="1" applyBorder="1" applyAlignment="1" applyProtection="1">
      <alignment horizontal="left" indent="1"/>
      <protection locked="0"/>
    </xf>
    <xf numFmtId="0" fontId="0" fillId="3" borderId="5" xfId="0" applyFont="1" applyFill="1" applyBorder="1" applyAlignment="1" applyProtection="1">
      <alignment horizontal="left"/>
      <protection locked="0"/>
    </xf>
    <xf numFmtId="0" fontId="0" fillId="4" borderId="1" xfId="0" applyFont="1" applyFill="1" applyBorder="1" applyAlignment="1" applyProtection="1">
      <alignment horizontal="center"/>
      <protection locked="0"/>
    </xf>
    <xf numFmtId="0" fontId="0" fillId="0" borderId="1" xfId="0" applyBorder="1" applyAlignment="1" applyProtection="1">
      <alignment horizontal="left" indent="1"/>
      <protection locked="0"/>
    </xf>
    <xf numFmtId="0" fontId="0" fillId="4" borderId="5" xfId="0" applyFont="1" applyFill="1" applyBorder="1" applyAlignment="1" applyProtection="1">
      <alignment horizontal="center"/>
      <protection locked="0"/>
    </xf>
    <xf numFmtId="2" fontId="0" fillId="4" borderId="5" xfId="0" applyNumberFormat="1" applyFont="1" applyFill="1" applyBorder="1" applyAlignment="1" applyProtection="1">
      <alignment horizontal="left" indent="7"/>
      <protection locked="0"/>
    </xf>
    <xf numFmtId="2" fontId="0" fillId="4" borderId="5" xfId="0" applyNumberFormat="1" applyFont="1" applyFill="1" applyBorder="1" applyAlignment="1" applyProtection="1">
      <alignment horizontal="center"/>
      <protection locked="0"/>
    </xf>
    <xf numFmtId="0" fontId="0" fillId="3" borderId="0" xfId="0" applyFill="1" applyBorder="1" applyAlignment="1" applyProtection="1">
      <alignment vertical="center"/>
      <protection locked="0"/>
    </xf>
    <xf numFmtId="0" fontId="0" fillId="3" borderId="1" xfId="0" applyFont="1" applyFill="1" applyBorder="1" applyAlignment="1" applyProtection="1">
      <alignment horizontal="left"/>
      <protection locked="0"/>
    </xf>
    <xf numFmtId="2" fontId="9" fillId="0" borderId="11" xfId="0" applyNumberFormat="1" applyFont="1" applyBorder="1" applyAlignment="1">
      <alignment horizontal="left" indent="1"/>
    </xf>
    <xf numFmtId="2" fontId="9" fillId="0" borderId="11" xfId="0" applyNumberFormat="1" applyFont="1" applyBorder="1"/>
    <xf numFmtId="2" fontId="9" fillId="0" borderId="5" xfId="0" applyNumberFormat="1" applyFont="1" applyBorder="1" applyAlignment="1">
      <alignment horizontal="left" indent="1"/>
    </xf>
    <xf numFmtId="2" fontId="9" fillId="0" borderId="5" xfId="0" applyNumberFormat="1" applyFont="1" applyBorder="1" applyAlignment="1">
      <alignment horizontal="center"/>
    </xf>
    <xf numFmtId="0" fontId="9" fillId="0" borderId="5" xfId="0" applyFont="1" applyBorder="1" applyAlignment="1">
      <alignment horizontal="center"/>
    </xf>
    <xf numFmtId="0" fontId="9" fillId="0" borderId="12" xfId="0" applyFont="1" applyBorder="1"/>
    <xf numFmtId="0" fontId="0" fillId="0" borderId="1" xfId="0" applyFont="1" applyBorder="1" applyAlignment="1">
      <alignment horizontal="left" wrapText="1" indent="1"/>
    </xf>
    <xf numFmtId="0" fontId="0" fillId="0" borderId="10" xfId="0" applyFont="1" applyBorder="1"/>
    <xf numFmtId="0" fontId="7" fillId="2" borderId="0" xfId="0" applyFont="1" applyFill="1" applyBorder="1" applyAlignment="1">
      <alignment vertical="center"/>
    </xf>
    <xf numFmtId="0" fontId="9" fillId="3" borderId="0" xfId="0" applyFont="1" applyFill="1" applyBorder="1" applyAlignment="1">
      <alignment horizontal="center" vertical="center"/>
    </xf>
    <xf numFmtId="0" fontId="0" fillId="3" borderId="1" xfId="0" applyFont="1" applyFill="1" applyBorder="1" applyAlignment="1">
      <alignment vertical="center"/>
    </xf>
    <xf numFmtId="0" fontId="0" fillId="3" borderId="1" xfId="0" applyFont="1" applyFill="1" applyBorder="1" applyAlignment="1">
      <alignment horizontal="left" vertical="center"/>
    </xf>
    <xf numFmtId="0" fontId="9" fillId="3" borderId="0" xfId="0" applyFont="1" applyFill="1" applyBorder="1" applyAlignment="1">
      <alignment horizontal="center" vertical="center" wrapText="1"/>
    </xf>
    <xf numFmtId="172" fontId="0" fillId="3" borderId="1" xfId="0" applyNumberFormat="1" applyFont="1" applyFill="1" applyBorder="1" applyAlignment="1" applyProtection="1">
      <alignment vertical="center"/>
      <protection locked="0"/>
    </xf>
    <xf numFmtId="172" fontId="18" fillId="3" borderId="0" xfId="0" applyNumberFormat="1" applyFont="1" applyFill="1" applyBorder="1" applyAlignment="1" applyProtection="1">
      <alignment vertical="center"/>
      <protection locked="0"/>
    </xf>
    <xf numFmtId="0" fontId="0" fillId="3" borderId="0" xfId="0" applyFont="1" applyFill="1" applyBorder="1" applyAlignment="1">
      <alignment vertical="center"/>
    </xf>
    <xf numFmtId="0" fontId="0" fillId="0" borderId="0" xfId="0" applyFont="1" applyBorder="1" applyProtection="1">
      <protection locked="0"/>
    </xf>
    <xf numFmtId="0" fontId="18" fillId="0" borderId="0" xfId="0" applyFont="1" applyBorder="1" applyAlignment="1" applyProtection="1">
      <alignment horizontal="left" vertical="center" indent="1"/>
      <protection locked="0"/>
    </xf>
    <xf numFmtId="172" fontId="18" fillId="0" borderId="0" xfId="0" applyNumberFormat="1" applyFont="1" applyBorder="1" applyAlignment="1" applyProtection="1">
      <alignment vertical="center"/>
      <protection locked="0"/>
    </xf>
    <xf numFmtId="0" fontId="0" fillId="3" borderId="0" xfId="0" applyFont="1" applyFill="1" applyBorder="1" applyAlignment="1" applyProtection="1">
      <alignment horizontal="center"/>
    </xf>
    <xf numFmtId="0" fontId="7" fillId="2" borderId="0" xfId="0" applyFont="1" applyFill="1" applyBorder="1" applyAlignment="1">
      <alignment horizontal="left" vertical="center" indent="5"/>
    </xf>
    <xf numFmtId="172" fontId="14" fillId="3" borderId="1" xfId="0" applyNumberFormat="1" applyFont="1" applyFill="1" applyBorder="1" applyAlignment="1" applyProtection="1">
      <alignment horizontal="left" vertical="center" indent="1"/>
      <protection locked="0"/>
    </xf>
    <xf numFmtId="0" fontId="0" fillId="3" borderId="0" xfId="0" applyFont="1" applyFill="1" applyBorder="1" applyAlignment="1">
      <alignment horizontal="left"/>
    </xf>
    <xf numFmtId="1" fontId="0" fillId="3" borderId="0" xfId="0" applyNumberFormat="1" applyFont="1" applyFill="1" applyBorder="1" applyAlignment="1">
      <alignment horizontal="center"/>
    </xf>
    <xf numFmtId="0" fontId="0" fillId="3" borderId="0" xfId="0" applyFont="1" applyFill="1" applyBorder="1" applyAlignment="1" applyProtection="1">
      <alignment horizontal="left" indent="1"/>
      <protection locked="0"/>
    </xf>
    <xf numFmtId="0" fontId="0" fillId="3" borderId="0" xfId="0" applyFont="1" applyFill="1" applyBorder="1" applyAlignment="1">
      <alignment horizontal="center"/>
    </xf>
    <xf numFmtId="0" fontId="0" fillId="3" borderId="0" xfId="0" applyFont="1" applyFill="1" applyBorder="1" applyAlignment="1" applyProtection="1">
      <alignment horizontal="left" vertical="center"/>
      <protection locked="0"/>
    </xf>
    <xf numFmtId="1" fontId="0" fillId="3" borderId="0" xfId="0" applyNumberFormat="1" applyFont="1" applyFill="1" applyBorder="1" applyAlignment="1" applyProtection="1">
      <alignment horizontal="center" vertical="center"/>
      <protection locked="0"/>
    </xf>
    <xf numFmtId="165" fontId="0" fillId="3" borderId="0" xfId="0" applyNumberFormat="1" applyFont="1" applyFill="1" applyBorder="1" applyAlignment="1" applyProtection="1">
      <alignment horizontal="left" vertical="center"/>
      <protection locked="0"/>
    </xf>
    <xf numFmtId="165" fontId="0" fillId="3" borderId="0" xfId="0" applyNumberFormat="1" applyFont="1" applyFill="1" applyBorder="1" applyAlignment="1" applyProtection="1">
      <alignment vertical="center"/>
      <protection locked="0"/>
    </xf>
    <xf numFmtId="0" fontId="0" fillId="3" borderId="0" xfId="0" applyFont="1" applyFill="1" applyBorder="1" applyAlignment="1"/>
    <xf numFmtId="0" fontId="0" fillId="3" borderId="0" xfId="0" applyFill="1" applyBorder="1" applyAlignment="1">
      <alignment horizontal="center" vertical="center"/>
    </xf>
    <xf numFmtId="0" fontId="9" fillId="3" borderId="0" xfId="0" applyFont="1" applyFill="1" applyBorder="1" applyAlignment="1">
      <alignment horizontal="right" vertical="center"/>
    </xf>
    <xf numFmtId="0" fontId="7" fillId="2" borderId="0" xfId="0" applyFont="1" applyFill="1" applyBorder="1" applyAlignment="1">
      <alignment horizontal="center" vertical="center"/>
    </xf>
    <xf numFmtId="172" fontId="0" fillId="3" borderId="0" xfId="0" applyNumberFormat="1" applyFont="1" applyFill="1" applyBorder="1" applyAlignment="1" applyProtection="1">
      <alignment vertical="center"/>
    </xf>
    <xf numFmtId="0" fontId="19" fillId="0" borderId="0" xfId="0" applyFont="1" applyAlignment="1">
      <alignment horizontal="left" vertical="center"/>
    </xf>
    <xf numFmtId="2" fontId="0" fillId="3" borderId="1" xfId="0" applyNumberFormat="1" applyFont="1" applyFill="1" applyBorder="1" applyAlignment="1">
      <alignment horizontal="left" indent="9"/>
    </xf>
    <xf numFmtId="0" fontId="0" fillId="3" borderId="0" xfId="0" applyFill="1" applyBorder="1" applyAlignment="1" applyProtection="1">
      <alignment horizontal="left" vertical="center" indent="1"/>
      <protection locked="0"/>
    </xf>
    <xf numFmtId="2" fontId="9" fillId="0" borderId="9" xfId="0" applyNumberFormat="1" applyFont="1" applyBorder="1" applyAlignment="1">
      <alignment horizontal="left" indent="9"/>
    </xf>
    <xf numFmtId="2" fontId="9" fillId="0" borderId="0" xfId="0" applyNumberFormat="1" applyFont="1" applyBorder="1"/>
    <xf numFmtId="0" fontId="0" fillId="3" borderId="0" xfId="0" applyFont="1" applyFill="1" applyBorder="1"/>
    <xf numFmtId="0" fontId="0" fillId="3" borderId="0" xfId="0" applyFont="1" applyFill="1" applyBorder="1" applyAlignment="1" applyProtection="1">
      <alignment horizontal="left" vertical="center" indent="1"/>
      <protection locked="0"/>
    </xf>
    <xf numFmtId="0" fontId="9" fillId="3" borderId="0" xfId="0" applyFont="1" applyFill="1" applyBorder="1" applyAlignment="1">
      <alignment vertical="center"/>
    </xf>
    <xf numFmtId="2" fontId="9" fillId="3" borderId="0" xfId="0" applyNumberFormat="1" applyFont="1" applyFill="1" applyBorder="1" applyAlignment="1">
      <alignment vertical="center"/>
    </xf>
    <xf numFmtId="0" fontId="0" fillId="3" borderId="0" xfId="0" applyFont="1" applyFill="1" applyBorder="1" applyAlignment="1" applyProtection="1">
      <alignment horizontal="center"/>
      <protection locked="0"/>
    </xf>
    <xf numFmtId="0" fontId="0" fillId="3" borderId="13" xfId="0" applyFont="1" applyFill="1" applyBorder="1" applyAlignment="1" applyProtection="1">
      <alignment horizontal="left" vertical="center" indent="1"/>
      <protection locked="0"/>
    </xf>
    <xf numFmtId="172" fontId="0" fillId="3" borderId="13" xfId="0" applyNumberFormat="1" applyFont="1" applyFill="1" applyBorder="1" applyAlignment="1" applyProtection="1">
      <alignment vertical="center"/>
    </xf>
    <xf numFmtId="0" fontId="0" fillId="3" borderId="13" xfId="0" applyFont="1" applyFill="1" applyBorder="1"/>
    <xf numFmtId="172" fontId="0" fillId="3" borderId="0" xfId="0" applyNumberFormat="1" applyFont="1" applyFill="1" applyBorder="1"/>
    <xf numFmtId="2" fontId="4" fillId="0" borderId="0" xfId="0" applyNumberFormat="1" applyFont="1" applyAlignment="1">
      <alignment horizontal="right"/>
    </xf>
    <xf numFmtId="0" fontId="7" fillId="8" borderId="0" xfId="0" applyFont="1" applyFill="1" applyBorder="1" applyAlignment="1">
      <alignment vertical="center"/>
    </xf>
    <xf numFmtId="0" fontId="7" fillId="8" borderId="0" xfId="0" applyFont="1" applyFill="1" applyBorder="1" applyAlignment="1">
      <alignment horizontal="left" vertical="center" indent="5"/>
    </xf>
    <xf numFmtId="2" fontId="7" fillId="8" borderId="0" xfId="0" applyNumberFormat="1" applyFont="1" applyFill="1" applyBorder="1" applyAlignment="1">
      <alignment horizontal="right" vertical="center"/>
    </xf>
    <xf numFmtId="0" fontId="7" fillId="6" borderId="0" xfId="0" applyFont="1" applyFill="1" applyBorder="1" applyAlignment="1">
      <alignment vertical="center"/>
    </xf>
    <xf numFmtId="0" fontId="7" fillId="6" borderId="0" xfId="0" applyFont="1" applyFill="1" applyBorder="1" applyAlignment="1">
      <alignment horizontal="left" vertical="center" indent="11"/>
    </xf>
    <xf numFmtId="2" fontId="7" fillId="6" borderId="0" xfId="0" applyNumberFormat="1" applyFont="1" applyFill="1" applyBorder="1" applyAlignment="1">
      <alignment horizontal="right" vertical="center"/>
    </xf>
    <xf numFmtId="0" fontId="7" fillId="9" borderId="0" xfId="0" applyFont="1" applyFill="1" applyBorder="1" applyAlignment="1">
      <alignment vertical="center"/>
    </xf>
    <xf numFmtId="0" fontId="7" fillId="9" borderId="5" xfId="0" applyFont="1" applyFill="1" applyBorder="1" applyAlignment="1">
      <alignment horizontal="center" vertical="center" wrapText="1"/>
    </xf>
    <xf numFmtId="0" fontId="14" fillId="4" borderId="1" xfId="0" applyFont="1" applyFill="1" applyBorder="1" applyAlignment="1" applyProtection="1">
      <alignment horizontal="center" vertical="center"/>
      <protection locked="0"/>
    </xf>
    <xf numFmtId="0" fontId="14" fillId="4" borderId="2" xfId="0" applyFont="1" applyFill="1" applyBorder="1" applyAlignment="1" applyProtection="1">
      <alignment horizontal="center" vertical="center"/>
      <protection locked="0"/>
    </xf>
    <xf numFmtId="0" fontId="14" fillId="4" borderId="8" xfId="0" applyFont="1" applyFill="1" applyBorder="1" applyAlignment="1" applyProtection="1">
      <alignment horizontal="center" vertical="center"/>
      <protection locked="0"/>
    </xf>
    <xf numFmtId="0" fontId="7" fillId="8" borderId="0" xfId="0" applyFont="1" applyFill="1" applyBorder="1"/>
    <xf numFmtId="0" fontId="7" fillId="7" borderId="0" xfId="0" applyFont="1" applyFill="1" applyBorder="1" applyAlignment="1">
      <alignment horizontal="left" vertical="center"/>
    </xf>
    <xf numFmtId="0" fontId="7" fillId="7" borderId="0" xfId="0" applyFont="1" applyFill="1" applyBorder="1" applyAlignment="1">
      <alignment vertical="center"/>
    </xf>
    <xf numFmtId="0" fontId="7" fillId="9" borderId="0" xfId="0" applyFont="1" applyFill="1" applyBorder="1" applyAlignment="1">
      <alignment horizontal="left" vertical="center" indent="5"/>
    </xf>
    <xf numFmtId="0" fontId="7" fillId="9" borderId="0" xfId="0" applyFont="1" applyFill="1" applyBorder="1"/>
    <xf numFmtId="0" fontId="7" fillId="2" borderId="0" xfId="0" applyFont="1" applyFill="1" applyBorder="1" applyAlignment="1">
      <alignment horizontal="left" vertical="center" indent="15"/>
    </xf>
    <xf numFmtId="0" fontId="7" fillId="10" borderId="0" xfId="0" applyFont="1" applyFill="1" applyBorder="1" applyAlignment="1">
      <alignment horizontal="right" vertical="center" indent="4"/>
    </xf>
    <xf numFmtId="0" fontId="7" fillId="10" borderId="5" xfId="0" applyFont="1" applyFill="1" applyBorder="1" applyAlignment="1">
      <alignment horizontal="center" vertical="center" wrapText="1"/>
    </xf>
    <xf numFmtId="2" fontId="0" fillId="4" borderId="1" xfId="0" applyNumberFormat="1" applyFont="1" applyFill="1" applyBorder="1" applyAlignment="1" applyProtection="1">
      <alignment horizontal="left" indent="5"/>
      <protection locked="0"/>
    </xf>
    <xf numFmtId="0" fontId="0" fillId="4" borderId="1" xfId="0" applyFont="1" applyFill="1" applyBorder="1" applyAlignment="1">
      <alignment horizontal="center"/>
    </xf>
    <xf numFmtId="2" fontId="0" fillId="4" borderId="1" xfId="0" applyNumberFormat="1" applyFont="1" applyFill="1" applyBorder="1" applyAlignment="1">
      <alignment horizontal="center"/>
    </xf>
    <xf numFmtId="0" fontId="0" fillId="3" borderId="1" xfId="0" applyFont="1" applyFill="1" applyBorder="1" applyAlignment="1">
      <alignment horizontal="left"/>
    </xf>
    <xf numFmtId="2" fontId="0" fillId="4" borderId="1" xfId="0" applyNumberFormat="1" applyFont="1" applyFill="1" applyBorder="1" applyAlignment="1" applyProtection="1">
      <alignment horizontal="center" vertical="center"/>
      <protection locked="0"/>
    </xf>
    <xf numFmtId="164" fontId="0" fillId="3" borderId="1" xfId="0" applyNumberFormat="1" applyFont="1" applyFill="1" applyBorder="1" applyAlignment="1">
      <alignment horizontal="center"/>
    </xf>
    <xf numFmtId="0" fontId="0" fillId="3" borderId="1" xfId="0" applyFont="1" applyFill="1" applyBorder="1" applyAlignment="1" applyProtection="1">
      <alignment horizontal="left" vertical="center"/>
      <protection locked="0"/>
    </xf>
    <xf numFmtId="0" fontId="0" fillId="3" borderId="5" xfId="0" applyFont="1" applyFill="1" applyBorder="1" applyAlignment="1">
      <alignment horizontal="left"/>
    </xf>
    <xf numFmtId="2" fontId="0" fillId="4" borderId="2" xfId="0" applyNumberFormat="1" applyFont="1" applyFill="1" applyBorder="1" applyAlignment="1" applyProtection="1">
      <alignment horizontal="left" indent="5"/>
      <protection locked="0"/>
    </xf>
    <xf numFmtId="2" fontId="0" fillId="4" borderId="8" xfId="0" applyNumberFormat="1" applyFont="1" applyFill="1" applyBorder="1" applyAlignment="1" applyProtection="1">
      <alignment horizontal="left" indent="5"/>
      <protection locked="0"/>
    </xf>
    <xf numFmtId="0" fontId="7" fillId="7" borderId="0" xfId="0" applyFont="1" applyFill="1" applyBorder="1" applyAlignment="1">
      <alignment horizontal="left" vertical="center" indent="5"/>
    </xf>
    <xf numFmtId="0" fontId="7" fillId="10" borderId="0" xfId="0" applyFont="1" applyFill="1" applyBorder="1" applyAlignment="1">
      <alignment horizontal="center" vertical="center"/>
    </xf>
    <xf numFmtId="0" fontId="7" fillId="11" borderId="0" xfId="0" applyFont="1" applyFill="1" applyBorder="1" applyAlignment="1">
      <alignment horizontal="left" vertical="center" indent="15"/>
    </xf>
    <xf numFmtId="0" fontId="7" fillId="11" borderId="0" xfId="0" applyFont="1" applyFill="1" applyBorder="1" applyAlignment="1">
      <alignment horizontal="center" vertical="center"/>
    </xf>
    <xf numFmtId="0" fontId="7" fillId="12" borderId="0" xfId="0" applyFont="1" applyFill="1" applyBorder="1" applyAlignment="1">
      <alignment horizontal="left" vertical="center" indent="15"/>
    </xf>
    <xf numFmtId="0" fontId="7" fillId="12" borderId="0" xfId="0" applyFont="1" applyFill="1" applyBorder="1" applyAlignment="1">
      <alignment horizontal="center" vertical="center"/>
    </xf>
    <xf numFmtId="0" fontId="7" fillId="11" borderId="5" xfId="0" applyFont="1" applyFill="1" applyBorder="1" applyAlignment="1">
      <alignment horizontal="center" vertical="center" wrapText="1"/>
    </xf>
    <xf numFmtId="0" fontId="7" fillId="12" borderId="5" xfId="0" applyFont="1" applyFill="1" applyBorder="1" applyAlignment="1">
      <alignment horizontal="center" vertical="center" wrapText="1"/>
    </xf>
    <xf numFmtId="164" fontId="0" fillId="3" borderId="1" xfId="0" applyNumberFormat="1" applyFont="1" applyFill="1" applyBorder="1" applyAlignment="1" applyProtection="1">
      <alignment horizontal="left" vertical="center" indent="9"/>
    </xf>
    <xf numFmtId="0" fontId="0" fillId="4" borderId="2" xfId="0" applyFont="1" applyFill="1" applyBorder="1" applyAlignment="1" applyProtection="1">
      <alignment horizontal="center"/>
      <protection locked="0"/>
    </xf>
    <xf numFmtId="0" fontId="0" fillId="13" borderId="8" xfId="0" applyFont="1" applyFill="1" applyBorder="1" applyAlignment="1" applyProtection="1">
      <alignment horizontal="left" indent="1"/>
      <protection locked="0"/>
    </xf>
    <xf numFmtId="0" fontId="0" fillId="13" borderId="8" xfId="0" applyFont="1" applyFill="1" applyBorder="1" applyProtection="1">
      <protection locked="0"/>
    </xf>
    <xf numFmtId="0" fontId="0" fillId="4" borderId="8" xfId="0" applyFont="1" applyFill="1" applyBorder="1" applyAlignment="1" applyProtection="1">
      <alignment horizontal="center"/>
      <protection locked="0"/>
    </xf>
    <xf numFmtId="0" fontId="0" fillId="13" borderId="2" xfId="0" applyFont="1" applyFill="1" applyBorder="1" applyAlignment="1" applyProtection="1">
      <alignment horizontal="left" indent="1"/>
      <protection locked="0"/>
    </xf>
    <xf numFmtId="0" fontId="0" fillId="13" borderId="2" xfId="0" applyFont="1" applyFill="1" applyBorder="1" applyProtection="1">
      <protection locked="0"/>
    </xf>
    <xf numFmtId="0" fontId="0" fillId="13" borderId="6" xfId="0" applyFont="1" applyFill="1" applyBorder="1" applyAlignment="1" applyProtection="1">
      <alignment horizontal="left" indent="1"/>
      <protection locked="0"/>
    </xf>
    <xf numFmtId="0" fontId="0" fillId="13" borderId="6" xfId="0" applyFont="1" applyFill="1" applyBorder="1" applyProtection="1">
      <protection locked="0"/>
    </xf>
    <xf numFmtId="0" fontId="0" fillId="4" borderId="6" xfId="0" applyFont="1" applyFill="1" applyBorder="1" applyAlignment="1" applyProtection="1">
      <alignment horizontal="center"/>
      <protection locked="0"/>
    </xf>
    <xf numFmtId="2" fontId="0" fillId="4" borderId="6" xfId="0" applyNumberFormat="1" applyFont="1" applyFill="1" applyBorder="1" applyAlignment="1" applyProtection="1">
      <alignment horizontal="left" indent="7"/>
      <protection locked="0"/>
    </xf>
    <xf numFmtId="0" fontId="0" fillId="0" borderId="1" xfId="0" applyFont="1" applyBorder="1" applyAlignment="1" applyProtection="1">
      <alignment horizontal="left" indent="1"/>
      <protection locked="0"/>
    </xf>
    <xf numFmtId="0" fontId="0" fillId="3" borderId="8" xfId="0" applyFont="1" applyFill="1" applyBorder="1" applyAlignment="1" applyProtection="1">
      <alignment horizontal="left"/>
      <protection locked="0"/>
    </xf>
    <xf numFmtId="0" fontId="0" fillId="13" borderId="6" xfId="0" applyFont="1" applyFill="1" applyBorder="1" applyAlignment="1" applyProtection="1">
      <alignment horizontal="left" vertical="center" indent="1"/>
      <protection locked="0"/>
    </xf>
    <xf numFmtId="0" fontId="0" fillId="13" borderId="14" xfId="0" applyFont="1" applyFill="1" applyBorder="1" applyAlignment="1" applyProtection="1">
      <alignment vertical="center"/>
      <protection locked="0"/>
    </xf>
    <xf numFmtId="0" fontId="14" fillId="4" borderId="6" xfId="0" applyFont="1" applyFill="1" applyBorder="1" applyAlignment="1" applyProtection="1">
      <alignment horizontal="center" vertical="center"/>
      <protection locked="0"/>
    </xf>
    <xf numFmtId="2" fontId="14" fillId="4" borderId="6" xfId="0" applyNumberFormat="1" applyFont="1" applyFill="1" applyBorder="1" applyAlignment="1" applyProtection="1">
      <alignment horizontal="left" vertical="center" indent="7"/>
      <protection locked="0"/>
    </xf>
    <xf numFmtId="2" fontId="0" fillId="4" borderId="6" xfId="0" applyNumberFormat="1" applyFont="1" applyFill="1" applyBorder="1" applyAlignment="1" applyProtection="1">
      <alignment horizontal="left" vertical="center" indent="7"/>
      <protection locked="0"/>
    </xf>
    <xf numFmtId="0" fontId="9" fillId="0" borderId="15" xfId="0" applyFont="1" applyBorder="1"/>
    <xf numFmtId="0" fontId="9" fillId="0" borderId="15" xfId="0" applyFont="1" applyBorder="1" applyAlignment="1">
      <alignment horizontal="center"/>
    </xf>
    <xf numFmtId="2" fontId="9" fillId="0" borderId="15" xfId="0" applyNumberFormat="1" applyFont="1" applyBorder="1" applyAlignment="1">
      <alignment horizontal="center"/>
    </xf>
    <xf numFmtId="0" fontId="20" fillId="0" borderId="0" xfId="0" applyFont="1"/>
    <xf numFmtId="0" fontId="9" fillId="0" borderId="1" xfId="0" applyFont="1" applyBorder="1" applyAlignment="1" applyProtection="1">
      <alignment horizontal="left" indent="1"/>
      <protection locked="0"/>
    </xf>
    <xf numFmtId="0" fontId="14" fillId="0" borderId="1" xfId="0" applyFont="1" applyBorder="1" applyAlignment="1" applyProtection="1">
      <alignment horizontal="center" vertical="center"/>
    </xf>
    <xf numFmtId="2" fontId="14" fillId="0" borderId="1" xfId="0" applyNumberFormat="1" applyFont="1" applyBorder="1" applyAlignment="1" applyProtection="1">
      <alignment horizontal="left" vertical="center" indent="4"/>
    </xf>
    <xf numFmtId="2" fontId="0" fillId="0" borderId="0" xfId="0" applyNumberFormat="1" applyFont="1"/>
    <xf numFmtId="0" fontId="9" fillId="3" borderId="1" xfId="0" applyFont="1" applyFill="1" applyBorder="1" applyAlignment="1">
      <alignment horizontal="left" indent="1"/>
    </xf>
    <xf numFmtId="0" fontId="0" fillId="3" borderId="1" xfId="0" applyFont="1" applyFill="1" applyBorder="1" applyAlignment="1"/>
    <xf numFmtId="0" fontId="0" fillId="3" borderId="1" xfId="0" applyFont="1" applyFill="1" applyBorder="1"/>
    <xf numFmtId="2" fontId="0" fillId="3" borderId="1" xfId="0" applyNumberFormat="1" applyFont="1" applyFill="1" applyBorder="1" applyAlignment="1">
      <alignment horizontal="right"/>
    </xf>
    <xf numFmtId="0" fontId="0" fillId="0" borderId="1" xfId="0" applyFont="1" applyBorder="1" applyAlignment="1" applyProtection="1">
      <alignment horizontal="center"/>
    </xf>
    <xf numFmtId="0" fontId="0" fillId="0" borderId="1" xfId="0" applyFont="1" applyBorder="1" applyAlignment="1" applyProtection="1">
      <alignment horizontal="left" indent="5"/>
    </xf>
    <xf numFmtId="2" fontId="0" fillId="0" borderId="1" xfId="0" applyNumberFormat="1" applyFont="1" applyBorder="1" applyAlignment="1" applyProtection="1">
      <alignment horizontal="left" indent="5"/>
    </xf>
    <xf numFmtId="2" fontId="14" fillId="0" borderId="1" xfId="0" applyNumberFormat="1" applyFont="1" applyBorder="1" applyAlignment="1" applyProtection="1">
      <alignment horizontal="left" vertical="center" indent="5"/>
    </xf>
    <xf numFmtId="0" fontId="0" fillId="3" borderId="1" xfId="0" applyFont="1" applyFill="1" applyBorder="1" applyAlignment="1">
      <alignment horizontal="center"/>
    </xf>
    <xf numFmtId="2" fontId="0" fillId="3" borderId="1" xfId="0" applyNumberFormat="1" applyFont="1" applyFill="1" applyBorder="1" applyAlignment="1">
      <alignment horizontal="left" indent="4"/>
    </xf>
    <xf numFmtId="173" fontId="0" fillId="0" borderId="0" xfId="0" applyNumberFormat="1" applyFont="1" applyAlignment="1">
      <alignment horizontal="right"/>
    </xf>
    <xf numFmtId="171" fontId="0" fillId="0" borderId="0" xfId="0" applyNumberFormat="1" applyFont="1" applyAlignment="1">
      <alignment horizontal="right"/>
    </xf>
    <xf numFmtId="164" fontId="14" fillId="0" borderId="1" xfId="0" applyNumberFormat="1" applyFont="1" applyBorder="1" applyAlignment="1" applyProtection="1">
      <alignment horizontal="left" vertical="center" indent="4"/>
    </xf>
    <xf numFmtId="0" fontId="18" fillId="3" borderId="1" xfId="0" applyFont="1" applyFill="1" applyBorder="1" applyAlignment="1" applyProtection="1">
      <alignment horizontal="left" vertical="center" indent="4"/>
      <protection locked="0"/>
    </xf>
    <xf numFmtId="172" fontId="18" fillId="3" borderId="1" xfId="0" applyNumberFormat="1" applyFont="1" applyFill="1" applyBorder="1" applyAlignment="1" applyProtection="1">
      <alignment vertical="center"/>
      <protection locked="0"/>
    </xf>
    <xf numFmtId="2" fontId="0" fillId="4" borderId="6" xfId="0" applyNumberFormat="1" applyFont="1" applyFill="1" applyBorder="1" applyAlignment="1" applyProtection="1">
      <alignment horizontal="left" indent="5"/>
      <protection locked="0"/>
    </xf>
    <xf numFmtId="2" fontId="14" fillId="4" borderId="6" xfId="0" applyNumberFormat="1" applyFont="1" applyFill="1" applyBorder="1" applyAlignment="1" applyProtection="1">
      <alignment horizontal="left" vertical="center" indent="5"/>
      <protection locked="0"/>
    </xf>
    <xf numFmtId="164" fontId="9" fillId="0" borderId="15" xfId="0" applyNumberFormat="1" applyFont="1" applyBorder="1" applyAlignment="1">
      <alignment horizontal="center"/>
    </xf>
    <xf numFmtId="172" fontId="18" fillId="0" borderId="0" xfId="0" applyNumberFormat="1" applyFont="1" applyBorder="1" applyAlignment="1" applyProtection="1">
      <alignment horizontal="left" vertical="center"/>
      <protection locked="0"/>
    </xf>
    <xf numFmtId="0" fontId="0" fillId="3" borderId="13" xfId="0" applyFont="1" applyFill="1" applyBorder="1" applyAlignment="1" applyProtection="1">
      <alignment horizontal="left" vertical="center"/>
      <protection locked="0"/>
    </xf>
    <xf numFmtId="172" fontId="9" fillId="0" borderId="15" xfId="0" applyNumberFormat="1" applyFont="1" applyBorder="1" applyAlignment="1">
      <alignment horizontal="center"/>
    </xf>
    <xf numFmtId="172" fontId="9" fillId="0" borderId="15" xfId="0" applyNumberFormat="1" applyFont="1" applyBorder="1" applyAlignment="1">
      <alignment horizontal="center" vertical="center"/>
    </xf>
    <xf numFmtId="0" fontId="0" fillId="3" borderId="13" xfId="0" applyFont="1" applyFill="1" applyBorder="1" applyAlignment="1">
      <alignment horizontal="left"/>
    </xf>
    <xf numFmtId="0" fontId="1" fillId="0" borderId="0" xfId="0" applyFont="1"/>
    <xf numFmtId="2" fontId="0" fillId="4" borderId="1" xfId="0" applyNumberFormat="1" applyFont="1" applyFill="1" applyBorder="1" applyAlignment="1" applyProtection="1">
      <alignment horizontal="left" indent="9"/>
      <protection locked="0"/>
    </xf>
    <xf numFmtId="2" fontId="0" fillId="4" borderId="5" xfId="0" applyNumberFormat="1" applyFont="1" applyFill="1" applyBorder="1" applyAlignment="1" applyProtection="1">
      <alignment horizontal="left" indent="9"/>
      <protection locked="0"/>
    </xf>
    <xf numFmtId="165" fontId="0" fillId="3" borderId="1" xfId="0" applyNumberFormat="1" applyFont="1" applyFill="1" applyBorder="1" applyAlignment="1" applyProtection="1">
      <alignment horizontal="left" vertical="center"/>
      <protection locked="0"/>
    </xf>
    <xf numFmtId="0" fontId="0" fillId="4" borderId="1" xfId="0" applyFont="1" applyFill="1" applyBorder="1" applyAlignment="1" applyProtection="1">
      <alignment horizontal="center" vertical="center"/>
      <protection locked="0"/>
    </xf>
    <xf numFmtId="2" fontId="8" fillId="4" borderId="1" xfId="0" applyNumberFormat="1" applyFont="1" applyFill="1" applyBorder="1" applyAlignment="1" applyProtection="1">
      <alignment horizontal="left" vertical="center" indent="7"/>
      <protection locked="0"/>
    </xf>
    <xf numFmtId="2" fontId="0" fillId="4" borderId="1" xfId="0" applyNumberFormat="1" applyFont="1" applyFill="1" applyBorder="1" applyAlignment="1" applyProtection="1">
      <alignment horizontal="left" vertical="center" indent="9"/>
      <protection locked="0"/>
    </xf>
    <xf numFmtId="0" fontId="0" fillId="4" borderId="1" xfId="0" applyFill="1" applyBorder="1" applyAlignment="1" applyProtection="1">
      <alignment horizontal="left" indent="7"/>
      <protection locked="0"/>
    </xf>
    <xf numFmtId="2" fontId="0" fillId="4" borderId="1" xfId="0" applyNumberFormat="1" applyFill="1" applyBorder="1" applyAlignment="1" applyProtection="1">
      <alignment horizontal="left" indent="9"/>
      <protection locked="0"/>
    </xf>
    <xf numFmtId="2" fontId="0" fillId="4" borderId="1" xfId="0" applyNumberFormat="1" applyFill="1" applyBorder="1" applyProtection="1">
      <protection locked="0"/>
    </xf>
    <xf numFmtId="2" fontId="0" fillId="0" borderId="1" xfId="0" applyNumberFormat="1" applyFont="1" applyBorder="1" applyAlignment="1" applyProtection="1">
      <alignment horizontal="left" indent="1"/>
      <protection locked="0"/>
    </xf>
    <xf numFmtId="165" fontId="0" fillId="3" borderId="2" xfId="0" applyNumberFormat="1" applyFont="1" applyFill="1" applyBorder="1" applyAlignment="1" applyProtection="1">
      <alignment horizontal="left" vertical="center"/>
      <protection locked="0"/>
    </xf>
    <xf numFmtId="0" fontId="0" fillId="4" borderId="2" xfId="0" applyFill="1" applyBorder="1" applyAlignment="1" applyProtection="1">
      <alignment horizontal="center"/>
      <protection locked="0"/>
    </xf>
    <xf numFmtId="0" fontId="0" fillId="4" borderId="2" xfId="0" applyFill="1" applyBorder="1" applyAlignment="1" applyProtection="1">
      <alignment horizontal="left" indent="7"/>
      <protection locked="0"/>
    </xf>
    <xf numFmtId="2" fontId="0" fillId="4" borderId="2" xfId="0" applyNumberFormat="1" applyFill="1" applyBorder="1" applyAlignment="1" applyProtection="1">
      <alignment horizontal="left" indent="9"/>
      <protection locked="0"/>
    </xf>
    <xf numFmtId="2" fontId="0" fillId="4" borderId="2" xfId="0" applyNumberFormat="1" applyFill="1" applyBorder="1" applyProtection="1">
      <protection locked="0"/>
    </xf>
    <xf numFmtId="2" fontId="0" fillId="0" borderId="2" xfId="0" applyNumberFormat="1" applyFont="1" applyBorder="1" applyAlignment="1" applyProtection="1">
      <alignment horizontal="left" indent="1"/>
      <protection locked="0"/>
    </xf>
    <xf numFmtId="0" fontId="0" fillId="3" borderId="8" xfId="0" applyFont="1" applyFill="1" applyBorder="1" applyAlignment="1" applyProtection="1">
      <alignment horizontal="left" indent="1"/>
      <protection locked="0"/>
    </xf>
    <xf numFmtId="2" fontId="0" fillId="4" borderId="8" xfId="0" applyNumberFormat="1" applyFont="1" applyFill="1" applyBorder="1" applyAlignment="1" applyProtection="1">
      <alignment horizontal="left" indent="9"/>
      <protection locked="0"/>
    </xf>
    <xf numFmtId="2" fontId="0" fillId="4" borderId="8" xfId="0" applyNumberFormat="1" applyFont="1" applyFill="1" applyBorder="1" applyAlignment="1" applyProtection="1">
      <alignment horizontal="center"/>
      <protection locked="0"/>
    </xf>
    <xf numFmtId="0" fontId="0" fillId="0" borderId="8" xfId="0" applyFont="1" applyBorder="1" applyAlignment="1" applyProtection="1">
      <alignment horizontal="left" indent="1"/>
      <protection locked="0"/>
    </xf>
    <xf numFmtId="0" fontId="0" fillId="3" borderId="1" xfId="0" applyFont="1" applyFill="1" applyBorder="1" applyAlignment="1" applyProtection="1">
      <alignment horizontal="left" indent="1"/>
      <protection locked="0"/>
    </xf>
    <xf numFmtId="2" fontId="0" fillId="4" borderId="1" xfId="0" applyNumberFormat="1" applyFont="1" applyFill="1" applyBorder="1" applyAlignment="1" applyProtection="1">
      <alignment horizontal="left" vertical="center" indent="7"/>
      <protection locked="0"/>
    </xf>
    <xf numFmtId="0" fontId="0" fillId="3" borderId="6" xfId="0" applyFont="1" applyFill="1" applyBorder="1" applyAlignment="1" applyProtection="1">
      <alignment horizontal="left" indent="1"/>
      <protection locked="0"/>
    </xf>
    <xf numFmtId="0" fontId="0" fillId="3" borderId="6" xfId="0" applyFont="1" applyFill="1" applyBorder="1" applyAlignment="1" applyProtection="1">
      <alignment horizontal="left"/>
      <protection locked="0"/>
    </xf>
    <xf numFmtId="0" fontId="0" fillId="4" borderId="6" xfId="0" applyFont="1" applyFill="1" applyBorder="1" applyAlignment="1" applyProtection="1">
      <alignment horizontal="center" vertical="center"/>
      <protection locked="0"/>
    </xf>
    <xf numFmtId="2" fontId="0" fillId="4" borderId="6" xfId="0" applyNumberFormat="1" applyFont="1" applyFill="1" applyBorder="1" applyAlignment="1" applyProtection="1">
      <alignment horizontal="left" vertical="center" indent="9"/>
      <protection locked="0"/>
    </xf>
    <xf numFmtId="2" fontId="0" fillId="4" borderId="6" xfId="0" applyNumberFormat="1" applyFont="1" applyFill="1" applyBorder="1" applyAlignment="1" applyProtection="1">
      <alignment horizontal="center" vertical="center"/>
      <protection locked="0"/>
    </xf>
    <xf numFmtId="0" fontId="0" fillId="0" borderId="2" xfId="0" applyFont="1" applyBorder="1" applyAlignment="1" applyProtection="1">
      <alignment horizontal="left" indent="1"/>
      <protection locked="0"/>
    </xf>
    <xf numFmtId="0" fontId="9" fillId="0" borderId="1" xfId="0" applyFont="1" applyBorder="1" applyAlignment="1" applyProtection="1">
      <alignment horizontal="left" vertical="center"/>
      <protection locked="0"/>
    </xf>
    <xf numFmtId="0" fontId="9" fillId="0" borderId="1" xfId="0" applyFont="1" applyBorder="1" applyAlignment="1" applyProtection="1">
      <alignment horizontal="center" vertical="center"/>
      <protection locked="0"/>
    </xf>
    <xf numFmtId="172" fontId="14" fillId="0" borderId="1" xfId="0" applyNumberFormat="1" applyFont="1" applyBorder="1" applyAlignment="1" applyProtection="1">
      <alignment horizontal="left" vertical="center" indent="1"/>
    </xf>
    <xf numFmtId="0" fontId="9" fillId="0" borderId="0" xfId="0" applyFont="1" applyBorder="1" applyAlignment="1" applyProtection="1">
      <alignment horizontal="left" vertical="center"/>
      <protection locked="0"/>
    </xf>
    <xf numFmtId="172" fontId="14" fillId="0" borderId="0" xfId="0" applyNumberFormat="1" applyFont="1" applyBorder="1" applyAlignment="1" applyProtection="1">
      <alignment horizontal="left" vertical="center" indent="1"/>
    </xf>
    <xf numFmtId="0" fontId="9" fillId="3" borderId="0" xfId="0" applyFont="1" applyFill="1" applyBorder="1" applyAlignment="1">
      <alignment horizontal="left" vertical="center"/>
    </xf>
    <xf numFmtId="2" fontId="0" fillId="3" borderId="0" xfId="0" applyNumberFormat="1" applyFill="1" applyBorder="1" applyProtection="1">
      <protection locked="0"/>
    </xf>
    <xf numFmtId="0" fontId="0" fillId="3" borderId="0" xfId="0" applyFill="1" applyBorder="1" applyProtection="1">
      <protection locked="0"/>
    </xf>
    <xf numFmtId="0" fontId="18" fillId="3" borderId="0" xfId="0" applyFont="1" applyFill="1" applyBorder="1" applyAlignment="1" applyProtection="1">
      <alignment horizontal="left" vertical="center" indent="1"/>
      <protection locked="0"/>
    </xf>
    <xf numFmtId="2" fontId="0" fillId="0" borderId="1" xfId="0" applyNumberFormat="1" applyFont="1" applyBorder="1" applyAlignment="1">
      <alignment horizontal="center"/>
    </xf>
    <xf numFmtId="0" fontId="9" fillId="0" borderId="0" xfId="0" applyFont="1" applyBorder="1" applyAlignment="1">
      <alignment horizontal="left" indent="1"/>
    </xf>
    <xf numFmtId="2" fontId="9" fillId="0" borderId="0" xfId="0" applyNumberFormat="1" applyFont="1" applyBorder="1" applyAlignment="1">
      <alignment horizontal="center"/>
    </xf>
    <xf numFmtId="2" fontId="0" fillId="3" borderId="0" xfId="0" applyNumberFormat="1" applyFill="1" applyBorder="1" applyAlignment="1" applyProtection="1">
      <alignment horizontal="left" indent="1"/>
      <protection locked="0"/>
    </xf>
    <xf numFmtId="2" fontId="0" fillId="3" borderId="0" xfId="0" applyNumberFormat="1" applyFill="1" applyBorder="1"/>
    <xf numFmtId="2" fontId="14" fillId="3" borderId="0" xfId="0" applyNumberFormat="1" applyFont="1" applyFill="1" applyBorder="1" applyAlignment="1" applyProtection="1">
      <alignment horizontal="left" vertical="center" indent="4"/>
      <protection locked="0"/>
    </xf>
    <xf numFmtId="0" fontId="1" fillId="0" borderId="0" xfId="0" applyFont="1" applyAlignment="1">
      <alignment horizontal="center" vertical="center"/>
    </xf>
    <xf numFmtId="0" fontId="0" fillId="0" borderId="1" xfId="0" applyFont="1" applyBorder="1" applyAlignment="1">
      <alignment horizontal="left" vertical="center" indent="4"/>
    </xf>
    <xf numFmtId="0" fontId="0" fillId="0" borderId="6" xfId="0" applyFont="1" applyBorder="1" applyAlignment="1">
      <alignment horizontal="left" vertical="center" indent="4"/>
    </xf>
    <xf numFmtId="0" fontId="11" fillId="0" borderId="7" xfId="0" applyFont="1" applyBorder="1" applyAlignment="1">
      <alignment horizontal="left" vertical="center" indent="4"/>
    </xf>
    <xf numFmtId="0" fontId="0" fillId="0" borderId="5" xfId="0" applyFont="1" applyBorder="1" applyAlignment="1">
      <alignment horizontal="left" vertical="center" indent="1"/>
    </xf>
    <xf numFmtId="2" fontId="0" fillId="4" borderId="7" xfId="0" applyNumberFormat="1" applyFont="1" applyFill="1" applyBorder="1" applyAlignment="1" applyProtection="1">
      <alignment horizontal="center" vertical="center"/>
      <protection locked="0"/>
    </xf>
    <xf numFmtId="0" fontId="0" fillId="0" borderId="1" xfId="0" applyFont="1" applyBorder="1" applyAlignment="1">
      <alignment horizontal="left" vertical="center" indent="1"/>
    </xf>
    <xf numFmtId="4" fontId="0" fillId="4" borderId="1" xfId="0" applyNumberFormat="1" applyFont="1" applyFill="1" applyBorder="1" applyAlignment="1" applyProtection="1">
      <alignment horizontal="center" vertical="center"/>
      <protection locked="0"/>
    </xf>
    <xf numFmtId="0" fontId="0" fillId="0" borderId="7" xfId="0" applyFont="1" applyBorder="1" applyAlignment="1">
      <alignment horizontal="left" vertical="center" indent="4"/>
    </xf>
    <xf numFmtId="0" fontId="0" fillId="0" borderId="7" xfId="0" applyFont="1" applyBorder="1" applyAlignment="1">
      <alignment horizontal="left" vertical="center" indent="1"/>
    </xf>
    <xf numFmtId="0" fontId="9" fillId="3" borderId="1" xfId="0" applyFont="1" applyFill="1" applyBorder="1" applyAlignment="1">
      <alignment horizontal="left" vertical="center"/>
    </xf>
    <xf numFmtId="9" fontId="0" fillId="0" borderId="0" xfId="0" applyNumberFormat="1" applyFont="1"/>
    <xf numFmtId="0" fontId="0" fillId="0" borderId="6" xfId="0" applyFont="1" applyBorder="1" applyAlignment="1">
      <alignment horizontal="center" vertical="center"/>
    </xf>
    <xf numFmtId="0" fontId="0" fillId="0" borderId="1" xfId="0" applyFont="1" applyBorder="1" applyAlignment="1">
      <alignment horizontal="center" vertical="center"/>
    </xf>
    <xf numFmtId="0" fontId="9" fillId="3" borderId="1" xfId="0" applyFont="1" applyFill="1" applyBorder="1" applyAlignment="1">
      <alignment horizontal="center" vertical="center"/>
    </xf>
    <xf numFmtId="2" fontId="9" fillId="0" borderId="1" xfId="0" applyNumberFormat="1" applyFont="1" applyBorder="1" applyAlignment="1">
      <alignment horizontal="left" vertical="center" indent="12"/>
    </xf>
    <xf numFmtId="0" fontId="7" fillId="6" borderId="0" xfId="0" applyFont="1" applyFill="1" applyAlignment="1">
      <alignment horizontal="center" vertical="center" wrapText="1"/>
    </xf>
    <xf numFmtId="2" fontId="0" fillId="3" borderId="1" xfId="0" applyNumberFormat="1" applyFont="1" applyFill="1" applyBorder="1" applyAlignment="1">
      <alignment horizontal="center" vertical="center"/>
    </xf>
    <xf numFmtId="2" fontId="0" fillId="4" borderId="0" xfId="0" applyNumberFormat="1" applyFont="1" applyFill="1" applyBorder="1" applyAlignment="1" applyProtection="1">
      <alignment horizontal="center" vertical="center"/>
      <protection locked="0"/>
    </xf>
    <xf numFmtId="2" fontId="0" fillId="3" borderId="0" xfId="0" applyNumberFormat="1" applyFont="1" applyFill="1" applyBorder="1" applyAlignment="1">
      <alignment horizontal="center" vertical="center"/>
    </xf>
    <xf numFmtId="0" fontId="21" fillId="0" borderId="0" xfId="0" applyFont="1" applyAlignment="1">
      <alignment horizontal="left" vertical="center"/>
    </xf>
    <xf numFmtId="0" fontId="0" fillId="0" borderId="0" xfId="0" applyFont="1" applyAlignment="1">
      <alignment wrapText="1"/>
    </xf>
    <xf numFmtId="2" fontId="0" fillId="4" borderId="1" xfId="0" applyNumberFormat="1" applyFill="1" applyBorder="1" applyAlignment="1" applyProtection="1">
      <alignment horizontal="center" vertical="center"/>
      <protection locked="0"/>
    </xf>
    <xf numFmtId="2" fontId="0" fillId="3" borderId="1" xfId="0" applyNumberFormat="1" applyFill="1" applyBorder="1" applyAlignment="1">
      <alignment horizontal="center" vertical="center"/>
    </xf>
    <xf numFmtId="0" fontId="0" fillId="0" borderId="0" xfId="0" applyBorder="1"/>
    <xf numFmtId="0" fontId="11" fillId="0" borderId="1" xfId="0" applyFont="1" applyBorder="1" applyAlignment="1">
      <alignment horizontal="left" vertical="center" indent="4"/>
    </xf>
    <xf numFmtId="169" fontId="0" fillId="3" borderId="1" xfId="0" applyNumberFormat="1" applyFont="1" applyFill="1" applyBorder="1" applyAlignment="1">
      <alignment horizontal="center" vertical="center"/>
    </xf>
    <xf numFmtId="169" fontId="0" fillId="3" borderId="1" xfId="0" applyNumberFormat="1" applyFill="1" applyBorder="1" applyAlignment="1">
      <alignment horizontal="center" vertical="center"/>
    </xf>
    <xf numFmtId="169" fontId="0" fillId="0" borderId="0" xfId="0" applyNumberFormat="1"/>
    <xf numFmtId="0" fontId="7" fillId="2" borderId="3" xfId="0" applyFont="1" applyFill="1" applyBorder="1" applyAlignment="1">
      <alignment horizontal="center" vertical="center" wrapText="1"/>
    </xf>
    <xf numFmtId="0" fontId="11" fillId="0" borderId="3" xfId="0" applyFont="1" applyBorder="1" applyAlignment="1">
      <alignment horizontal="left" wrapText="1"/>
    </xf>
    <xf numFmtId="2" fontId="0" fillId="0" borderId="3" xfId="0" applyNumberFormat="1" applyFont="1" applyBorder="1" applyAlignment="1">
      <alignment horizontal="center"/>
    </xf>
    <xf numFmtId="0" fontId="0" fillId="0" borderId="3" xfId="0" applyFont="1" applyBorder="1"/>
    <xf numFmtId="0" fontId="11" fillId="0" borderId="3" xfId="0" applyFont="1" applyBorder="1" applyAlignment="1">
      <alignment wrapText="1"/>
    </xf>
    <xf numFmtId="0" fontId="11" fillId="0" borderId="3" xfId="0" applyFont="1" applyBorder="1"/>
    <xf numFmtId="2" fontId="9" fillId="0" borderId="3" xfId="0" applyNumberFormat="1" applyFont="1" applyBorder="1"/>
    <xf numFmtId="0" fontId="11" fillId="14" borderId="0" xfId="0" applyFont="1" applyFill="1" applyAlignment="1"/>
    <xf numFmtId="0" fontId="0" fillId="14" borderId="0" xfId="0" applyFill="1" applyAlignment="1"/>
    <xf numFmtId="0" fontId="0" fillId="0" borderId="0" xfId="0" applyAlignment="1">
      <alignment horizontal="center"/>
    </xf>
    <xf numFmtId="0" fontId="22" fillId="0" borderId="0" xfId="0" applyFont="1"/>
    <xf numFmtId="0" fontId="11" fillId="5" borderId="0" xfId="0" applyFont="1" applyFill="1"/>
    <xf numFmtId="0" fontId="0" fillId="5" borderId="0" xfId="0" applyFill="1"/>
    <xf numFmtId="0" fontId="11" fillId="0" borderId="0" xfId="0" applyFont="1" applyAlignment="1">
      <alignment horizontal="center"/>
    </xf>
    <xf numFmtId="0" fontId="22" fillId="0" borderId="0" xfId="0" applyFont="1" applyAlignment="1">
      <alignment horizontal="center"/>
    </xf>
    <xf numFmtId="0" fontId="11" fillId="0" borderId="0" xfId="0" applyFont="1"/>
    <xf numFmtId="0" fontId="11" fillId="16" borderId="0" xfId="0" applyFont="1" applyFill="1"/>
    <xf numFmtId="0" fontId="0" fillId="16" borderId="0" xfId="0" applyFill="1"/>
    <xf numFmtId="0" fontId="23" fillId="0" borderId="0" xfId="0" applyFont="1"/>
    <xf numFmtId="0" fontId="0" fillId="0" borderId="0" xfId="0" applyFill="1"/>
    <xf numFmtId="0" fontId="23" fillId="0" borderId="0" xfId="0" applyFont="1" applyFill="1" applyAlignment="1"/>
    <xf numFmtId="0" fontId="11" fillId="17" borderId="0" xfId="0" applyFont="1" applyFill="1"/>
    <xf numFmtId="0" fontId="0" fillId="17" borderId="0" xfId="0" applyFill="1"/>
    <xf numFmtId="0" fontId="23" fillId="0" borderId="0" xfId="0" applyFont="1" applyAlignment="1">
      <alignment horizontal="center"/>
    </xf>
    <xf numFmtId="0" fontId="23" fillId="0" borderId="0" xfId="0" applyFont="1" applyFill="1" applyAlignment="1">
      <alignment horizontal="center"/>
    </xf>
    <xf numFmtId="0" fontId="11" fillId="16" borderId="0" xfId="0" applyFont="1" applyFill="1" applyAlignment="1"/>
    <xf numFmtId="0" fontId="22" fillId="0" borderId="0" xfId="0" applyFont="1" applyFill="1" applyAlignment="1">
      <alignment horizontal="center"/>
    </xf>
    <xf numFmtId="0" fontId="11" fillId="0" borderId="0" xfId="0" applyFont="1" applyAlignment="1"/>
    <xf numFmtId="0" fontId="11" fillId="14" borderId="0" xfId="0" applyFont="1" applyFill="1"/>
    <xf numFmtId="0" fontId="0" fillId="0" borderId="0" xfId="0" applyFill="1" applyAlignment="1"/>
    <xf numFmtId="0" fontId="0" fillId="0" borderId="0" xfId="0" applyAlignment="1">
      <alignment horizontal="right"/>
    </xf>
    <xf numFmtId="0" fontId="11" fillId="0" borderId="0" xfId="0" applyFont="1" applyFill="1" applyAlignment="1"/>
    <xf numFmtId="0" fontId="11" fillId="0" borderId="0" xfId="0" applyFont="1" applyFill="1" applyAlignment="1">
      <alignment horizontal="center"/>
    </xf>
    <xf numFmtId="0" fontId="0" fillId="0" borderId="0" xfId="0" applyFill="1" applyAlignment="1">
      <alignment horizontal="center"/>
    </xf>
    <xf numFmtId="0" fontId="11" fillId="0" borderId="0" xfId="0" applyFont="1" applyAlignment="1">
      <alignment horizontal="right"/>
    </xf>
    <xf numFmtId="0" fontId="11" fillId="0" borderId="0" xfId="0" applyFont="1" applyFill="1"/>
    <xf numFmtId="0" fontId="0" fillId="0" borderId="0" xfId="0" applyAlignment="1">
      <alignment horizontal="right" wrapText="1"/>
    </xf>
    <xf numFmtId="2" fontId="0" fillId="0" borderId="0" xfId="0" applyNumberFormat="1" applyAlignment="1">
      <alignment horizontal="center"/>
    </xf>
    <xf numFmtId="2" fontId="0" fillId="0" borderId="0" xfId="0" applyNumberFormat="1" applyFill="1"/>
    <xf numFmtId="0" fontId="22" fillId="0" borderId="0" xfId="0" applyFont="1" applyFill="1"/>
    <xf numFmtId="0" fontId="11" fillId="0" borderId="0" xfId="0" applyFont="1" applyAlignment="1">
      <alignment horizontal="left"/>
    </xf>
    <xf numFmtId="0" fontId="11" fillId="22" borderId="0" xfId="0" applyFont="1" applyFill="1"/>
    <xf numFmtId="0" fontId="0" fillId="22" borderId="0" xfId="0" applyFill="1"/>
    <xf numFmtId="2" fontId="22" fillId="0" borderId="0" xfId="0" applyNumberFormat="1" applyFont="1"/>
    <xf numFmtId="0" fontId="24" fillId="0" borderId="16" xfId="0" applyFont="1" applyBorder="1" applyAlignment="1">
      <alignment horizontal="left" vertical="center" wrapText="1"/>
    </xf>
    <xf numFmtId="0" fontId="25" fillId="0" borderId="3" xfId="1" applyFont="1" applyBorder="1" applyAlignment="1">
      <alignment horizontal="center" vertical="center" wrapText="1"/>
    </xf>
    <xf numFmtId="0" fontId="26" fillId="23" borderId="3" xfId="1" applyFont="1" applyFill="1" applyBorder="1" applyAlignment="1">
      <alignment vertical="center" wrapText="1"/>
    </xf>
    <xf numFmtId="0" fontId="24" fillId="24" borderId="3" xfId="5" applyFont="1" applyFill="1" applyBorder="1" applyAlignment="1" applyProtection="1">
      <alignment horizontal="center" vertical="center"/>
    </xf>
    <xf numFmtId="0" fontId="26" fillId="25" borderId="3" xfId="1" applyFont="1" applyFill="1" applyBorder="1" applyAlignment="1">
      <alignment vertical="center" wrapText="1"/>
    </xf>
    <xf numFmtId="0" fontId="24" fillId="26" borderId="3" xfId="5" applyFont="1" applyFill="1" applyBorder="1" applyAlignment="1" applyProtection="1">
      <alignment horizontal="center" vertical="center"/>
    </xf>
    <xf numFmtId="0" fontId="24" fillId="0" borderId="16" xfId="0" applyFont="1" applyFill="1" applyBorder="1" applyAlignment="1">
      <alignment horizontal="left" vertical="center" wrapText="1"/>
    </xf>
    <xf numFmtId="0" fontId="25" fillId="0" borderId="3" xfId="1" applyFont="1" applyFill="1" applyBorder="1" applyAlignment="1">
      <alignment horizontal="center" vertical="center" wrapText="1"/>
    </xf>
    <xf numFmtId="0" fontId="25" fillId="0" borderId="3" xfId="4" applyFont="1" applyBorder="1" applyAlignment="1">
      <alignment horizontal="left" vertical="center" wrapText="1"/>
    </xf>
    <xf numFmtId="165" fontId="27" fillId="27" borderId="3" xfId="5" applyNumberFormat="1" applyFont="1" applyFill="1" applyBorder="1" applyAlignment="1" applyProtection="1">
      <alignment horizontal="center" vertical="center"/>
    </xf>
    <xf numFmtId="0" fontId="24" fillId="0" borderId="3" xfId="0" applyFont="1" applyBorder="1" applyAlignment="1">
      <alignment vertical="center" wrapText="1"/>
    </xf>
    <xf numFmtId="0" fontId="25" fillId="24" borderId="3" xfId="1" applyFont="1" applyFill="1" applyBorder="1" applyAlignment="1">
      <alignment horizontal="center" vertical="center" wrapText="1"/>
    </xf>
    <xf numFmtId="2" fontId="0" fillId="5" borderId="0" xfId="0" applyNumberFormat="1" applyFill="1"/>
    <xf numFmtId="2" fontId="22" fillId="0" borderId="0" xfId="0" applyNumberFormat="1" applyFont="1" applyAlignment="1">
      <alignment horizontal="center"/>
    </xf>
    <xf numFmtId="0" fontId="8" fillId="0" borderId="0" xfId="0" applyFont="1"/>
    <xf numFmtId="0" fontId="0" fillId="0" borderId="0" xfId="0" applyFill="1" applyAlignment="1">
      <alignment horizontal="right"/>
    </xf>
    <xf numFmtId="0" fontId="0" fillId="0" borderId="0" xfId="0" applyFill="1" applyAlignment="1">
      <alignment horizontal="right" wrapText="1"/>
    </xf>
    <xf numFmtId="0" fontId="25" fillId="28" borderId="3" xfId="0" applyFont="1" applyFill="1" applyBorder="1" applyAlignment="1">
      <alignment horizontal="left" vertical="center" wrapText="1"/>
    </xf>
    <xf numFmtId="0" fontId="24" fillId="28" borderId="3" xfId="0" applyFont="1" applyFill="1" applyBorder="1" applyAlignment="1">
      <alignment horizontal="left" vertical="center" wrapText="1"/>
    </xf>
    <xf numFmtId="0" fontId="24" fillId="0" borderId="3" xfId="0" applyFont="1" applyBorder="1" applyAlignment="1">
      <alignment horizontal="left" vertical="center"/>
    </xf>
    <xf numFmtId="0" fontId="27" fillId="26" borderId="3" xfId="0" applyFont="1" applyFill="1" applyBorder="1" applyAlignment="1">
      <alignment vertical="center" wrapText="1"/>
    </xf>
    <xf numFmtId="0" fontId="25" fillId="26" borderId="3" xfId="1" applyFont="1" applyFill="1" applyBorder="1" applyAlignment="1">
      <alignment horizontal="center" vertical="center" wrapText="1"/>
    </xf>
    <xf numFmtId="0" fontId="24" fillId="0" borderId="3" xfId="0" applyFont="1" applyBorder="1" applyAlignment="1">
      <alignment horizontal="left" vertical="center" wrapText="1"/>
    </xf>
    <xf numFmtId="0" fontId="25" fillId="0" borderId="3" xfId="0" applyFont="1" applyBorder="1" applyAlignment="1">
      <alignment horizontal="left" vertical="center"/>
    </xf>
    <xf numFmtId="0" fontId="25" fillId="0" borderId="3" xfId="0" applyFont="1" applyBorder="1" applyAlignment="1">
      <alignment horizontal="left" vertical="center" wrapText="1"/>
    </xf>
    <xf numFmtId="0" fontId="25" fillId="0" borderId="3" xfId="0" applyFont="1" applyBorder="1" applyAlignment="1">
      <alignment vertical="center" wrapText="1"/>
    </xf>
    <xf numFmtId="0" fontId="24" fillId="0" borderId="3" xfId="1" applyFont="1" applyBorder="1" applyAlignment="1">
      <alignment horizontal="center" vertical="center" wrapText="1"/>
    </xf>
    <xf numFmtId="0" fontId="25" fillId="0" borderId="3" xfId="0" applyFont="1" applyFill="1" applyBorder="1" applyAlignment="1">
      <alignment horizontal="left" vertical="center" wrapText="1"/>
    </xf>
    <xf numFmtId="0" fontId="27" fillId="26" borderId="3" xfId="5" applyFont="1" applyFill="1" applyBorder="1" applyAlignment="1" applyProtection="1">
      <alignment vertical="center"/>
    </xf>
    <xf numFmtId="0" fontId="24" fillId="0" borderId="3" xfId="0" applyFont="1" applyFill="1" applyBorder="1" applyAlignment="1">
      <alignment horizontal="left" vertical="center" wrapText="1"/>
    </xf>
    <xf numFmtId="0" fontId="25" fillId="0" borderId="3" xfId="5" applyFont="1" applyBorder="1" applyAlignment="1" applyProtection="1">
      <alignment horizontal="left" vertical="center" wrapText="1"/>
    </xf>
    <xf numFmtId="0" fontId="24" fillId="0" borderId="3" xfId="5" applyFont="1" applyBorder="1" applyAlignment="1" applyProtection="1">
      <alignment horizontal="center" vertical="center"/>
    </xf>
    <xf numFmtId="0" fontId="27" fillId="29" borderId="3" xfId="5" applyFont="1" applyFill="1" applyBorder="1" applyAlignment="1" applyProtection="1">
      <alignment vertical="center"/>
    </xf>
    <xf numFmtId="165" fontId="24" fillId="29" borderId="3" xfId="5" applyNumberFormat="1" applyFont="1" applyFill="1" applyBorder="1" applyAlignment="1" applyProtection="1">
      <alignment horizontal="center" vertical="center"/>
    </xf>
    <xf numFmtId="0" fontId="27" fillId="27" borderId="3" xfId="5" applyFont="1" applyFill="1" applyBorder="1" applyAlignment="1" applyProtection="1">
      <alignment vertical="center"/>
    </xf>
    <xf numFmtId="0" fontId="24" fillId="0" borderId="3" xfId="5" applyFont="1" applyFill="1" applyBorder="1" applyAlignment="1" applyProtection="1">
      <alignment horizontal="left" vertical="center" wrapText="1"/>
    </xf>
    <xf numFmtId="0" fontId="24" fillId="0" borderId="3" xfId="5" applyFont="1" applyFill="1" applyBorder="1" applyAlignment="1" applyProtection="1">
      <alignment horizontal="center" vertical="center"/>
    </xf>
    <xf numFmtId="0" fontId="24" fillId="0" borderId="3" xfId="5" applyFont="1" applyBorder="1" applyAlignment="1" applyProtection="1">
      <alignment horizontal="left" vertical="center" wrapText="1"/>
    </xf>
    <xf numFmtId="0" fontId="25" fillId="0" borderId="3" xfId="5" applyFont="1" applyFill="1" applyBorder="1" applyAlignment="1" applyProtection="1">
      <alignment horizontal="left" vertical="center" wrapText="1"/>
    </xf>
    <xf numFmtId="0" fontId="25" fillId="0" borderId="3" xfId="4" applyFont="1" applyFill="1" applyBorder="1" applyAlignment="1">
      <alignment horizontal="left" vertical="center" wrapText="1"/>
    </xf>
    <xf numFmtId="0" fontId="25" fillId="0" borderId="0" xfId="0" applyFont="1" applyFill="1" applyAlignment="1">
      <alignment vertical="center" wrapText="1"/>
    </xf>
    <xf numFmtId="0" fontId="25" fillId="0" borderId="3" xfId="0" applyFont="1" applyFill="1" applyBorder="1" applyAlignment="1">
      <alignment vertical="center" wrapText="1"/>
    </xf>
    <xf numFmtId="0" fontId="25" fillId="28" borderId="3" xfId="0" applyFont="1" applyFill="1" applyBorder="1" applyAlignment="1">
      <alignment vertical="center" wrapText="1"/>
    </xf>
    <xf numFmtId="0" fontId="25" fillId="0" borderId="3" xfId="0" applyFont="1" applyBorder="1" applyAlignment="1">
      <alignment vertical="center"/>
    </xf>
    <xf numFmtId="0" fontId="25" fillId="0" borderId="3" xfId="4" applyFont="1" applyBorder="1" applyAlignment="1">
      <alignment horizontal="left" vertical="center"/>
    </xf>
    <xf numFmtId="0" fontId="25" fillId="0" borderId="17" xfId="1" applyFont="1" applyBorder="1" applyAlignment="1">
      <alignment horizontal="center" vertical="center" wrapText="1"/>
    </xf>
    <xf numFmtId="0" fontId="26" fillId="30" borderId="3" xfId="1" applyFont="1" applyFill="1" applyBorder="1" applyAlignment="1">
      <alignment vertical="center" wrapText="1"/>
    </xf>
    <xf numFmtId="0" fontId="24" fillId="31" borderId="3" xfId="5" applyFont="1" applyFill="1" applyBorder="1" applyAlignment="1" applyProtection="1">
      <alignment horizontal="center" vertical="center"/>
    </xf>
    <xf numFmtId="0" fontId="25" fillId="31" borderId="3" xfId="1" applyFont="1" applyFill="1" applyBorder="1" applyAlignment="1">
      <alignment horizontal="center" vertical="center" wrapText="1"/>
    </xf>
    <xf numFmtId="0" fontId="24" fillId="0" borderId="0" xfId="0" applyFont="1" applyAlignment="1">
      <alignment vertical="center" wrapText="1"/>
    </xf>
    <xf numFmtId="0" fontId="26" fillId="31" borderId="3" xfId="0" applyFont="1" applyFill="1" applyBorder="1" applyAlignment="1">
      <alignment horizontal="right" vertical="center"/>
    </xf>
    <xf numFmtId="0" fontId="26" fillId="31" borderId="3" xfId="1" applyFont="1" applyFill="1" applyBorder="1" applyAlignment="1">
      <alignment vertical="center" wrapText="1"/>
    </xf>
    <xf numFmtId="0" fontId="27" fillId="31" borderId="3" xfId="5" applyFont="1" applyFill="1" applyBorder="1" applyAlignment="1" applyProtection="1">
      <alignment vertical="center" wrapText="1"/>
    </xf>
    <xf numFmtId="0" fontId="25" fillId="0" borderId="0" xfId="0" applyFont="1" applyAlignment="1">
      <alignment vertical="center" wrapText="1"/>
    </xf>
    <xf numFmtId="0" fontId="27" fillId="31" borderId="3" xfId="0" applyFont="1" applyFill="1" applyBorder="1" applyAlignment="1">
      <alignment vertical="center" wrapText="1"/>
    </xf>
    <xf numFmtId="0" fontId="25" fillId="0" borderId="0" xfId="0" applyFont="1" applyAlignment="1">
      <alignment vertical="center"/>
    </xf>
    <xf numFmtId="0" fontId="25" fillId="0" borderId="16" xfId="1" applyFont="1" applyBorder="1" applyAlignment="1">
      <alignment horizontal="center" vertical="center" wrapText="1"/>
    </xf>
    <xf numFmtId="0" fontId="27" fillId="29" borderId="3" xfId="5" applyFont="1" applyFill="1" applyBorder="1" applyAlignment="1" applyProtection="1">
      <alignment vertical="center" wrapText="1"/>
    </xf>
    <xf numFmtId="165" fontId="24" fillId="29" borderId="3" xfId="5" applyNumberFormat="1" applyFont="1" applyFill="1" applyBorder="1" applyAlignment="1" applyProtection="1">
      <alignment horizontal="center" vertical="center" wrapText="1"/>
    </xf>
    <xf numFmtId="0" fontId="25" fillId="28" borderId="0" xfId="0" applyFont="1" applyFill="1" applyAlignment="1">
      <alignment vertical="center" wrapText="1"/>
    </xf>
    <xf numFmtId="0" fontId="26" fillId="25" borderId="3" xfId="1" applyFont="1" applyFill="1" applyBorder="1" applyAlignment="1">
      <alignment horizontal="left" vertical="center" wrapText="1"/>
    </xf>
    <xf numFmtId="0" fontId="26" fillId="26" borderId="3" xfId="1" applyFont="1" applyFill="1" applyBorder="1" applyAlignment="1">
      <alignment vertical="center" wrapText="1"/>
    </xf>
    <xf numFmtId="0" fontId="27" fillId="32" borderId="3" xfId="5" applyFont="1" applyFill="1" applyBorder="1" applyAlignment="1" applyProtection="1">
      <alignment vertical="center"/>
    </xf>
    <xf numFmtId="165" fontId="27" fillId="32" borderId="3" xfId="5" applyNumberFormat="1" applyFont="1" applyFill="1" applyBorder="1" applyAlignment="1" applyProtection="1">
      <alignment horizontal="center" vertical="center"/>
    </xf>
    <xf numFmtId="0" fontId="0" fillId="0" borderId="3" xfId="0" applyBorder="1"/>
    <xf numFmtId="0" fontId="0" fillId="0" borderId="3" xfId="0" applyBorder="1" applyAlignment="1">
      <alignment horizontal="center"/>
    </xf>
    <xf numFmtId="0" fontId="22" fillId="0" borderId="3" xfId="0" applyFont="1" applyBorder="1"/>
    <xf numFmtId="0" fontId="11" fillId="5" borderId="3" xfId="0" applyFont="1" applyFill="1" applyBorder="1"/>
    <xf numFmtId="0" fontId="0" fillId="5" borderId="3" xfId="0" applyFill="1" applyBorder="1"/>
    <xf numFmtId="0" fontId="11" fillId="0" borderId="3" xfId="0" applyFont="1" applyBorder="1" applyAlignment="1">
      <alignment horizontal="center"/>
    </xf>
    <xf numFmtId="0" fontId="22" fillId="0" borderId="3" xfId="0" applyFont="1" applyBorder="1" applyAlignment="1">
      <alignment horizontal="center"/>
    </xf>
    <xf numFmtId="2" fontId="22" fillId="0" borderId="3" xfId="0" applyNumberFormat="1" applyFont="1" applyBorder="1"/>
    <xf numFmtId="0" fontId="0" fillId="18" borderId="3" xfId="0" applyFill="1" applyBorder="1" applyAlignment="1"/>
    <xf numFmtId="0" fontId="8" fillId="18" borderId="3" xfId="0" applyFont="1" applyFill="1" applyBorder="1" applyAlignment="1"/>
    <xf numFmtId="2" fontId="22" fillId="0" borderId="3" xfId="0" applyNumberFormat="1" applyFont="1" applyBorder="1" applyAlignment="1">
      <alignment horizontal="center"/>
    </xf>
    <xf numFmtId="0" fontId="22" fillId="0" borderId="3" xfId="0" applyFont="1" applyFill="1" applyBorder="1" applyAlignment="1"/>
    <xf numFmtId="0" fontId="28" fillId="0" borderId="3" xfId="0" applyFont="1" applyBorder="1"/>
    <xf numFmtId="0" fontId="11" fillId="16" borderId="3" xfId="0" applyFont="1" applyFill="1" applyBorder="1"/>
    <xf numFmtId="0" fontId="0" fillId="16" borderId="3" xfId="0" applyFill="1" applyBorder="1"/>
    <xf numFmtId="0" fontId="11" fillId="0" borderId="3" xfId="0" applyFont="1" applyBorder="1" applyAlignment="1"/>
    <xf numFmtId="0" fontId="0" fillId="0" borderId="3" xfId="0" applyBorder="1" applyAlignment="1">
      <alignment horizontal="right"/>
    </xf>
    <xf numFmtId="0" fontId="0" fillId="0" borderId="3" xfId="0" applyBorder="1" applyAlignment="1"/>
    <xf numFmtId="0" fontId="11" fillId="0" borderId="3" xfId="0" applyFont="1" applyFill="1" applyBorder="1" applyAlignment="1"/>
    <xf numFmtId="0" fontId="0" fillId="0" borderId="3" xfId="0" applyFill="1" applyBorder="1"/>
    <xf numFmtId="2" fontId="22" fillId="0" borderId="3" xfId="0" applyNumberFormat="1" applyFont="1" applyFill="1" applyBorder="1" applyAlignment="1"/>
    <xf numFmtId="0" fontId="0" fillId="0" borderId="3" xfId="0" applyFill="1" applyBorder="1" applyAlignment="1"/>
    <xf numFmtId="0" fontId="0" fillId="0" borderId="3" xfId="0" applyBorder="1" applyAlignment="1">
      <alignment horizontal="right" wrapText="1"/>
    </xf>
    <xf numFmtId="0" fontId="11" fillId="22" borderId="3" xfId="0" applyFont="1" applyFill="1" applyBorder="1" applyAlignment="1"/>
    <xf numFmtId="0" fontId="22" fillId="0" borderId="3" xfId="0" applyFont="1" applyFill="1" applyBorder="1" applyAlignment="1">
      <alignment horizontal="center"/>
    </xf>
    <xf numFmtId="0" fontId="22" fillId="0" borderId="3" xfId="0" applyFont="1" applyFill="1" applyBorder="1"/>
    <xf numFmtId="0" fontId="11" fillId="5" borderId="0" xfId="0" applyFont="1" applyFill="1" applyAlignment="1"/>
    <xf numFmtId="0" fontId="23" fillId="0" borderId="3" xfId="0" applyFont="1" applyBorder="1" applyAlignment="1">
      <alignment horizontal="center"/>
    </xf>
    <xf numFmtId="0" fontId="23" fillId="0" borderId="3" xfId="0" applyFont="1" applyFill="1" applyBorder="1" applyAlignment="1">
      <alignment horizontal="center"/>
    </xf>
    <xf numFmtId="0" fontId="0" fillId="0" borderId="3" xfId="0" applyBorder="1" applyAlignment="1">
      <alignment horizontal="left"/>
    </xf>
    <xf numFmtId="2" fontId="0" fillId="5" borderId="3" xfId="0" applyNumberFormat="1" applyFill="1" applyBorder="1"/>
    <xf numFmtId="2" fontId="22" fillId="0" borderId="3" xfId="0" applyNumberFormat="1" applyFont="1" applyFill="1" applyBorder="1"/>
    <xf numFmtId="0" fontId="17" fillId="8" borderId="0" xfId="0" applyFont="1" applyFill="1" applyBorder="1" applyAlignment="1">
      <alignment vertical="center"/>
    </xf>
    <xf numFmtId="0" fontId="17" fillId="6" borderId="0" xfId="0" applyFont="1" applyFill="1" applyBorder="1" applyAlignment="1">
      <alignment vertical="center"/>
    </xf>
    <xf numFmtId="0" fontId="7" fillId="6" borderId="0" xfId="0" applyFont="1" applyFill="1" applyBorder="1" applyAlignment="1">
      <alignment horizontal="left" vertical="center" indent="12"/>
    </xf>
    <xf numFmtId="0" fontId="7" fillId="6" borderId="0" xfId="0" applyFont="1" applyFill="1" applyBorder="1" applyAlignment="1">
      <alignment horizontal="center" vertical="center" wrapText="1"/>
    </xf>
    <xf numFmtId="0" fontId="7" fillId="7" borderId="0" xfId="0" applyFont="1" applyFill="1" applyBorder="1" applyAlignment="1">
      <alignment horizontal="left" vertical="center" indent="4"/>
    </xf>
    <xf numFmtId="0" fontId="7" fillId="7" borderId="0" xfId="0" applyFont="1" applyFill="1" applyBorder="1" applyAlignment="1">
      <alignment horizontal="left" vertical="center" indent="15"/>
    </xf>
    <xf numFmtId="0" fontId="7" fillId="6" borderId="0" xfId="0" applyFont="1" applyFill="1" applyBorder="1" applyAlignment="1">
      <alignment horizontal="left" vertical="center" indent="5"/>
    </xf>
    <xf numFmtId="0" fontId="7" fillId="2" borderId="0" xfId="0" applyFont="1" applyFill="1" applyBorder="1" applyAlignment="1">
      <alignment horizontal="left" vertical="center"/>
    </xf>
    <xf numFmtId="0" fontId="17" fillId="2" borderId="0" xfId="0" applyFont="1" applyFill="1" applyBorder="1" applyAlignment="1">
      <alignment horizontal="center" vertical="center"/>
    </xf>
    <xf numFmtId="0" fontId="17" fillId="2" borderId="0" xfId="0" applyFont="1" applyFill="1" applyBorder="1" applyAlignment="1">
      <alignment vertical="center"/>
    </xf>
    <xf numFmtId="164" fontId="8" fillId="3" borderId="1" xfId="0" applyNumberFormat="1" applyFont="1" applyFill="1" applyBorder="1" applyAlignment="1" applyProtection="1">
      <alignment horizontal="left" vertical="center" indent="5"/>
    </xf>
    <xf numFmtId="0" fontId="8" fillId="4" borderId="1" xfId="0" applyFont="1" applyFill="1" applyBorder="1" applyAlignment="1" applyProtection="1">
      <alignment horizontal="center"/>
      <protection locked="0"/>
    </xf>
    <xf numFmtId="164" fontId="8" fillId="3" borderId="1" xfId="0" applyNumberFormat="1" applyFont="1" applyFill="1" applyBorder="1" applyAlignment="1" applyProtection="1">
      <alignment horizontal="left" vertical="center" indent="4"/>
    </xf>
    <xf numFmtId="172" fontId="8" fillId="3" borderId="1" xfId="0" applyNumberFormat="1" applyFont="1" applyFill="1" applyBorder="1" applyAlignment="1" applyProtection="1">
      <alignment horizontal="left" vertical="center" indent="4"/>
    </xf>
    <xf numFmtId="0" fontId="8" fillId="4" borderId="2" xfId="0" applyFont="1" applyFill="1" applyBorder="1" applyAlignment="1" applyProtection="1">
      <alignment horizontal="center" vertical="center"/>
      <protection locked="0"/>
    </xf>
    <xf numFmtId="164" fontId="8" fillId="3" borderId="2" xfId="0" applyNumberFormat="1" applyFont="1" applyFill="1" applyBorder="1" applyAlignment="1" applyProtection="1">
      <alignment horizontal="left" vertical="center" indent="5"/>
    </xf>
    <xf numFmtId="0" fontId="8" fillId="4" borderId="2" xfId="0" applyFont="1" applyFill="1" applyBorder="1" applyAlignment="1" applyProtection="1">
      <alignment horizontal="center"/>
      <protection locked="0"/>
    </xf>
    <xf numFmtId="172" fontId="8" fillId="3" borderId="2" xfId="0" applyNumberFormat="1" applyFont="1" applyFill="1" applyBorder="1" applyAlignment="1" applyProtection="1">
      <alignment horizontal="left" vertical="center" indent="4"/>
    </xf>
    <xf numFmtId="0" fontId="8" fillId="4" borderId="8" xfId="0" applyFont="1" applyFill="1" applyBorder="1" applyAlignment="1" applyProtection="1">
      <alignment horizontal="center" vertical="center"/>
      <protection locked="0"/>
    </xf>
    <xf numFmtId="164" fontId="8" fillId="3" borderId="8" xfId="0" applyNumberFormat="1" applyFont="1" applyFill="1" applyBorder="1" applyAlignment="1" applyProtection="1">
      <alignment horizontal="left" vertical="center" indent="5"/>
    </xf>
    <xf numFmtId="0" fontId="8" fillId="4" borderId="8" xfId="0" applyFont="1" applyFill="1" applyBorder="1" applyAlignment="1" applyProtection="1">
      <alignment horizontal="center"/>
      <protection locked="0"/>
    </xf>
    <xf numFmtId="172" fontId="8" fillId="3" borderId="8" xfId="0" applyNumberFormat="1" applyFont="1" applyFill="1" applyBorder="1" applyAlignment="1" applyProtection="1">
      <alignment horizontal="left" vertical="center" indent="4"/>
    </xf>
    <xf numFmtId="0" fontId="17" fillId="7" borderId="0" xfId="0" applyFont="1" applyFill="1" applyBorder="1" applyAlignment="1">
      <alignment vertical="center"/>
    </xf>
    <xf numFmtId="0" fontId="7" fillId="11" borderId="0" xfId="0" applyFont="1" applyFill="1" applyBorder="1" applyAlignment="1">
      <alignment horizontal="right" vertical="center"/>
    </xf>
    <xf numFmtId="0" fontId="7" fillId="11" borderId="0" xfId="0" applyFont="1" applyFill="1" applyBorder="1" applyAlignment="1">
      <alignment horizontal="center" vertical="center" wrapText="1"/>
    </xf>
    <xf numFmtId="172" fontId="8" fillId="3" borderId="1" xfId="0" applyNumberFormat="1" applyFont="1" applyFill="1" applyBorder="1" applyAlignment="1" applyProtection="1">
      <alignment horizontal="right" vertical="center"/>
    </xf>
    <xf numFmtId="0" fontId="8" fillId="4" borderId="1" xfId="0" applyFont="1" applyFill="1" applyBorder="1" applyAlignment="1" applyProtection="1">
      <alignment horizontal="left" vertical="center" indent="1"/>
      <protection locked="0"/>
    </xf>
    <xf numFmtId="164" fontId="8" fillId="3" borderId="1" xfId="0" applyNumberFormat="1" applyFont="1" applyFill="1" applyBorder="1" applyAlignment="1" applyProtection="1">
      <alignment horizontal="right" vertical="center" indent="1"/>
    </xf>
    <xf numFmtId="0" fontId="8" fillId="4" borderId="1" xfId="0" applyFont="1" applyFill="1" applyBorder="1" applyAlignment="1" applyProtection="1">
      <alignment horizontal="left" indent="1"/>
      <protection locked="0"/>
    </xf>
    <xf numFmtId="0" fontId="0" fillId="4" borderId="1" xfId="0" applyFont="1" applyFill="1" applyBorder="1" applyAlignment="1" applyProtection="1">
      <alignment horizontal="left" indent="1"/>
      <protection locked="0"/>
    </xf>
    <xf numFmtId="172" fontId="8" fillId="3" borderId="2" xfId="0" applyNumberFormat="1" applyFont="1" applyFill="1" applyBorder="1" applyAlignment="1" applyProtection="1">
      <alignment horizontal="right" vertical="center"/>
    </xf>
    <xf numFmtId="0" fontId="8" fillId="4" borderId="2" xfId="0" applyFont="1" applyFill="1" applyBorder="1" applyAlignment="1" applyProtection="1">
      <alignment horizontal="left" vertical="center" indent="1"/>
      <protection locked="0"/>
    </xf>
    <xf numFmtId="164" fontId="8" fillId="3" borderId="2" xfId="0" applyNumberFormat="1" applyFont="1" applyFill="1" applyBorder="1" applyAlignment="1" applyProtection="1">
      <alignment horizontal="right" vertical="center" indent="1"/>
    </xf>
    <xf numFmtId="172" fontId="8" fillId="3" borderId="8" xfId="0" applyNumberFormat="1" applyFont="1" applyFill="1" applyBorder="1" applyAlignment="1" applyProtection="1">
      <alignment horizontal="right" vertical="center"/>
    </xf>
    <xf numFmtId="0" fontId="8" fillId="4" borderId="8" xfId="0" applyFont="1" applyFill="1" applyBorder="1" applyAlignment="1" applyProtection="1">
      <alignment horizontal="left" indent="1"/>
      <protection locked="0"/>
    </xf>
    <xf numFmtId="164" fontId="8" fillId="3" borderId="8" xfId="0" applyNumberFormat="1" applyFont="1" applyFill="1" applyBorder="1" applyAlignment="1" applyProtection="1">
      <alignment horizontal="right" vertical="center" indent="1"/>
    </xf>
    <xf numFmtId="0" fontId="9" fillId="0" borderId="5" xfId="0" applyFont="1" applyBorder="1"/>
    <xf numFmtId="0" fontId="9" fillId="0" borderId="5" xfId="0" applyFont="1" applyBorder="1" applyAlignment="1">
      <alignment horizontal="left" indent="7"/>
    </xf>
    <xf numFmtId="0" fontId="15" fillId="0" borderId="24" xfId="5" applyFont="1" applyBorder="1" applyAlignment="1" applyProtection="1"/>
    <xf numFmtId="0" fontId="0" fillId="0" borderId="24" xfId="0" applyFont="1" applyBorder="1"/>
    <xf numFmtId="0" fontId="16" fillId="0" borderId="0" xfId="5" applyFont="1" applyBorder="1" applyAlignment="1" applyProtection="1"/>
    <xf numFmtId="0" fontId="7" fillId="0" borderId="0" xfId="0" applyFont="1" applyBorder="1" applyAlignment="1">
      <alignment horizontal="center" vertical="center" wrapText="1"/>
    </xf>
    <xf numFmtId="164" fontId="14" fillId="0" borderId="1" xfId="0" applyNumberFormat="1" applyFont="1" applyBorder="1" applyAlignment="1" applyProtection="1">
      <alignment horizontal="center" vertical="center"/>
    </xf>
    <xf numFmtId="0" fontId="0" fillId="0" borderId="0" xfId="0" applyFont="1" applyBorder="1" applyAlignment="1" applyProtection="1">
      <alignment horizontal="center"/>
    </xf>
    <xf numFmtId="0" fontId="0" fillId="3" borderId="0" xfId="0" applyFont="1" applyFill="1" applyBorder="1" applyProtection="1">
      <protection locked="0"/>
    </xf>
    <xf numFmtId="172" fontId="0" fillId="0" borderId="0" xfId="0" applyNumberFormat="1" applyFont="1"/>
    <xf numFmtId="2" fontId="0" fillId="0" borderId="1" xfId="0" applyNumberFormat="1" applyFont="1" applyBorder="1" applyAlignment="1" applyProtection="1">
      <alignment horizontal="center"/>
    </xf>
    <xf numFmtId="0" fontId="0" fillId="3" borderId="1" xfId="0" applyFont="1" applyFill="1" applyBorder="1" applyProtection="1">
      <protection locked="0"/>
    </xf>
    <xf numFmtId="164" fontId="8" fillId="3" borderId="2" xfId="0" applyNumberFormat="1" applyFont="1" applyFill="1" applyBorder="1" applyAlignment="1" applyProtection="1">
      <alignment horizontal="left" vertical="center" indent="4"/>
    </xf>
    <xf numFmtId="164" fontId="8" fillId="3" borderId="8" xfId="0" applyNumberFormat="1" applyFont="1" applyFill="1" applyBorder="1" applyAlignment="1" applyProtection="1">
      <alignment horizontal="left" vertical="center" indent="4"/>
    </xf>
    <xf numFmtId="164" fontId="8" fillId="3" borderId="6" xfId="0" applyNumberFormat="1" applyFont="1" applyFill="1" applyBorder="1" applyAlignment="1" applyProtection="1">
      <alignment horizontal="left" vertical="center" indent="4"/>
    </xf>
    <xf numFmtId="172" fontId="8" fillId="3" borderId="6" xfId="0" applyNumberFormat="1" applyFont="1" applyFill="1" applyBorder="1" applyAlignment="1" applyProtection="1">
      <alignment horizontal="left" vertical="center" indent="4"/>
    </xf>
    <xf numFmtId="0" fontId="8" fillId="4" borderId="6" xfId="0" applyFont="1" applyFill="1" applyBorder="1" applyAlignment="1" applyProtection="1">
      <alignment horizontal="center" vertical="center"/>
      <protection locked="0"/>
    </xf>
    <xf numFmtId="0" fontId="8" fillId="4" borderId="6" xfId="0" applyFont="1" applyFill="1" applyBorder="1" applyAlignment="1" applyProtection="1">
      <alignment horizontal="center"/>
      <protection locked="0"/>
    </xf>
    <xf numFmtId="2" fontId="9" fillId="0" borderId="5" xfId="0" applyNumberFormat="1" applyFont="1" applyBorder="1" applyAlignment="1">
      <alignment horizontal="left" indent="5"/>
    </xf>
    <xf numFmtId="0" fontId="0" fillId="0" borderId="5" xfId="0" applyFont="1" applyBorder="1"/>
    <xf numFmtId="164" fontId="9" fillId="0" borderId="5" xfId="0" applyNumberFormat="1" applyFont="1" applyBorder="1"/>
    <xf numFmtId="172" fontId="9" fillId="0" borderId="5" xfId="0" applyNumberFormat="1" applyFont="1" applyBorder="1"/>
    <xf numFmtId="0" fontId="0" fillId="4" borderId="2" xfId="0" applyFont="1" applyFill="1" applyBorder="1" applyAlignment="1" applyProtection="1">
      <alignment horizontal="left" indent="1"/>
      <protection locked="0"/>
    </xf>
    <xf numFmtId="0" fontId="0" fillId="4" borderId="8" xfId="0" applyFont="1" applyFill="1" applyBorder="1" applyAlignment="1" applyProtection="1">
      <alignment horizontal="left" indent="1"/>
      <protection locked="0"/>
    </xf>
    <xf numFmtId="172" fontId="8" fillId="3" borderId="6" xfId="0" applyNumberFormat="1" applyFont="1" applyFill="1" applyBorder="1" applyAlignment="1" applyProtection="1">
      <alignment horizontal="right" vertical="center"/>
    </xf>
    <xf numFmtId="0" fontId="0" fillId="4" borderId="6" xfId="0" applyFont="1" applyFill="1" applyBorder="1" applyAlignment="1" applyProtection="1">
      <alignment horizontal="left" indent="1"/>
      <protection locked="0"/>
    </xf>
    <xf numFmtId="164" fontId="8" fillId="3" borderId="6" xfId="0" applyNumberFormat="1" applyFont="1" applyFill="1" applyBorder="1" applyAlignment="1" applyProtection="1">
      <alignment horizontal="right" vertical="center" indent="1"/>
    </xf>
    <xf numFmtId="0" fontId="0" fillId="0" borderId="0" xfId="0" applyAlignment="1">
      <alignment wrapText="1"/>
    </xf>
    <xf numFmtId="168" fontId="0" fillId="0" borderId="0" xfId="0" applyNumberFormat="1"/>
    <xf numFmtId="0" fontId="0" fillId="0" borderId="0" xfId="0" applyAlignment="1">
      <alignment horizontal="center" vertical="center"/>
    </xf>
    <xf numFmtId="10" fontId="11" fillId="0" borderId="0" xfId="2" applyNumberFormat="1"/>
    <xf numFmtId="9" fontId="0" fillId="0" borderId="3" xfId="0" applyNumberFormat="1" applyBorder="1"/>
    <xf numFmtId="0" fontId="29" fillId="0" borderId="0" xfId="6"/>
    <xf numFmtId="0" fontId="30" fillId="0" borderId="0" xfId="6" applyFont="1"/>
    <xf numFmtId="0" fontId="29" fillId="0" borderId="0" xfId="6" applyBorder="1"/>
    <xf numFmtId="0" fontId="29" fillId="0" borderId="0" xfId="11" applyFill="1" applyBorder="1"/>
    <xf numFmtId="0" fontId="0" fillId="0" borderId="0" xfId="5" applyFont="1" applyBorder="1" applyProtection="1"/>
    <xf numFmtId="0" fontId="29" fillId="0" borderId="0" xfId="6" applyFont="1"/>
    <xf numFmtId="2" fontId="32" fillId="0" borderId="0" xfId="6" applyNumberFormat="1" applyFont="1" applyAlignment="1"/>
    <xf numFmtId="2" fontId="32" fillId="0" borderId="0" xfId="6" applyNumberFormat="1" applyFont="1" applyAlignment="1">
      <alignment wrapText="1"/>
    </xf>
    <xf numFmtId="2" fontId="32" fillId="34" borderId="3" xfId="6" applyNumberFormat="1" applyFont="1" applyFill="1" applyBorder="1" applyAlignment="1">
      <alignment horizontal="center" vertical="center" wrapText="1"/>
    </xf>
    <xf numFmtId="2" fontId="32" fillId="34" borderId="3" xfId="6" applyNumberFormat="1" applyFont="1" applyFill="1" applyBorder="1" applyAlignment="1">
      <alignment horizontal="center" vertical="center"/>
    </xf>
    <xf numFmtId="0" fontId="33" fillId="0" borderId="3" xfId="6" applyFont="1" applyBorder="1" applyAlignment="1">
      <alignment horizontal="left" vertical="center" wrapText="1"/>
    </xf>
    <xf numFmtId="2" fontId="34" fillId="0" borderId="3" xfId="6" applyNumberFormat="1" applyFont="1" applyBorder="1" applyAlignment="1">
      <alignment horizontal="center" vertical="center" wrapText="1"/>
    </xf>
    <xf numFmtId="0" fontId="34" fillId="0" borderId="3" xfId="6" applyFont="1" applyBorder="1" applyAlignment="1">
      <alignment horizontal="left" vertical="center" wrapText="1"/>
    </xf>
    <xf numFmtId="2" fontId="32" fillId="0" borderId="3" xfId="6" applyNumberFormat="1" applyFont="1" applyBorder="1" applyAlignment="1">
      <alignment horizontal="center" vertical="top" wrapText="1"/>
    </xf>
    <xf numFmtId="2" fontId="34" fillId="0" borderId="3" xfId="6" applyNumberFormat="1" applyFont="1" applyBorder="1" applyAlignment="1">
      <alignment horizontal="center" vertical="top" wrapText="1"/>
    </xf>
    <xf numFmtId="1" fontId="34" fillId="0" borderId="3" xfId="6" applyNumberFormat="1" applyFont="1" applyBorder="1" applyAlignment="1">
      <alignment horizontal="center" vertical="top" wrapText="1"/>
    </xf>
    <xf numFmtId="2" fontId="34" fillId="0" borderId="3" xfId="6" applyNumberFormat="1" applyFont="1" applyBorder="1" applyAlignment="1">
      <alignment horizontal="right" vertical="top" wrapText="1"/>
    </xf>
    <xf numFmtId="2" fontId="34" fillId="0" borderId="3" xfId="6" applyNumberFormat="1" applyFont="1" applyBorder="1" applyAlignment="1">
      <alignment horizontal="left" vertical="top" wrapText="1"/>
    </xf>
    <xf numFmtId="0" fontId="34" fillId="0" borderId="3" xfId="6" applyFont="1" applyBorder="1" applyAlignment="1">
      <alignment horizontal="center" vertical="top" wrapText="1"/>
    </xf>
    <xf numFmtId="2" fontId="32" fillId="34" borderId="3" xfId="6" applyNumberFormat="1" applyFont="1" applyFill="1" applyBorder="1" applyAlignment="1">
      <alignment horizontal="right" wrapText="1"/>
    </xf>
    <xf numFmtId="2" fontId="34" fillId="0" borderId="3" xfId="6" applyNumberFormat="1" applyFont="1" applyBorder="1" applyAlignment="1">
      <alignment wrapText="1"/>
    </xf>
    <xf numFmtId="2" fontId="34" fillId="0" borderId="3" xfId="6" applyNumberFormat="1" applyFont="1" applyBorder="1" applyAlignment="1">
      <alignment horizontal="right" wrapText="1"/>
    </xf>
    <xf numFmtId="2" fontId="32" fillId="0" borderId="3" xfId="6" applyNumberFormat="1" applyFont="1" applyBorder="1" applyAlignment="1">
      <alignment wrapText="1"/>
    </xf>
    <xf numFmtId="2" fontId="32" fillId="0" borderId="3" xfId="6" applyNumberFormat="1" applyFont="1" applyBorder="1" applyAlignment="1">
      <alignment horizontal="right" wrapText="1"/>
    </xf>
    <xf numFmtId="0" fontId="34" fillId="0" borderId="3" xfId="6" applyFont="1" applyBorder="1" applyAlignment="1">
      <alignment horizontal="left" vertical="center"/>
    </xf>
    <xf numFmtId="0" fontId="34" fillId="0" borderId="3" xfId="6" applyFont="1" applyBorder="1" applyAlignment="1">
      <alignment horizontal="center" vertical="center" wrapText="1"/>
    </xf>
    <xf numFmtId="2" fontId="34" fillId="0" borderId="3" xfId="6" applyNumberFormat="1" applyFont="1" applyBorder="1" applyAlignment="1">
      <alignment horizontal="right" vertical="center" wrapText="1"/>
    </xf>
    <xf numFmtId="0" fontId="29" fillId="0" borderId="0" xfId="6" applyFont="1" applyFill="1" applyAlignment="1"/>
    <xf numFmtId="0" fontId="29" fillId="0" borderId="25" xfId="6" applyFont="1" applyFill="1" applyBorder="1" applyAlignment="1">
      <alignment horizontal="center"/>
    </xf>
    <xf numFmtId="0" fontId="29" fillId="0" borderId="3" xfId="6" applyFont="1" applyBorder="1"/>
    <xf numFmtId="0" fontId="29" fillId="0" borderId="0" xfId="6" applyFont="1" applyFill="1" applyBorder="1"/>
    <xf numFmtId="2" fontId="32" fillId="0" borderId="0" xfId="6" applyNumberFormat="1" applyFont="1" applyFill="1" applyBorder="1" applyAlignment="1">
      <alignment horizontal="center" vertical="center" wrapText="1"/>
    </xf>
    <xf numFmtId="2" fontId="34" fillId="0" borderId="0" xfId="6" applyNumberFormat="1" applyFont="1" applyFill="1" applyBorder="1" applyAlignment="1">
      <alignment horizontal="right" vertical="top" wrapText="1"/>
    </xf>
    <xf numFmtId="2" fontId="32" fillId="0" borderId="0" xfId="6" applyNumberFormat="1" applyFont="1" applyFill="1" applyBorder="1" applyAlignment="1">
      <alignment horizontal="right" wrapText="1"/>
    </xf>
    <xf numFmtId="2" fontId="34" fillId="0" borderId="0" xfId="6" applyNumberFormat="1" applyFont="1" applyFill="1" applyBorder="1" applyAlignment="1">
      <alignment horizontal="right" vertical="center" wrapText="1"/>
    </xf>
    <xf numFmtId="0" fontId="30" fillId="0" borderId="0" xfId="6" applyFont="1" applyAlignment="1"/>
    <xf numFmtId="0" fontId="33" fillId="0" borderId="3" xfId="6" applyFont="1" applyBorder="1" applyAlignment="1">
      <alignment vertical="center" wrapText="1"/>
    </xf>
    <xf numFmtId="0" fontId="34" fillId="0" borderId="0" xfId="6" applyFont="1" applyAlignment="1">
      <alignment horizontal="center" vertical="center"/>
    </xf>
    <xf numFmtId="0" fontId="34" fillId="0" borderId="3" xfId="6" applyNumberFormat="1" applyFont="1" applyBorder="1" applyAlignment="1">
      <alignment horizontal="center" vertical="top" wrapText="1"/>
    </xf>
    <xf numFmtId="1" fontId="34" fillId="0" borderId="3" xfId="6" applyNumberFormat="1" applyFont="1" applyBorder="1" applyAlignment="1">
      <alignment horizontal="right" vertical="top" wrapText="1"/>
    </xf>
    <xf numFmtId="2" fontId="34" fillId="0" borderId="3" xfId="6" applyNumberFormat="1" applyFont="1" applyBorder="1" applyAlignment="1">
      <alignment horizontal="center" wrapText="1"/>
    </xf>
    <xf numFmtId="2" fontId="34" fillId="0" borderId="3" xfId="6" applyNumberFormat="1" applyFont="1" applyBorder="1" applyAlignment="1">
      <alignment horizontal="left" vertical="center"/>
    </xf>
    <xf numFmtId="0" fontId="35" fillId="0" borderId="3" xfId="6" applyFont="1" applyBorder="1" applyAlignment="1">
      <alignment horizontal="center"/>
    </xf>
    <xf numFmtId="0" fontId="34" fillId="0" borderId="0" xfId="0" applyFont="1" applyAlignment="1">
      <alignment vertical="center"/>
    </xf>
    <xf numFmtId="2" fontId="34" fillId="0" borderId="3" xfId="6" applyNumberFormat="1" applyFont="1" applyBorder="1" applyAlignment="1">
      <alignment horizontal="left"/>
    </xf>
    <xf numFmtId="2" fontId="34" fillId="0" borderId="3" xfId="6" applyNumberFormat="1" applyFont="1" applyFill="1" applyBorder="1" applyAlignment="1">
      <alignment horizontal="right" vertical="top" wrapText="1"/>
    </xf>
    <xf numFmtId="2" fontId="32" fillId="0" borderId="16" xfId="6" applyNumberFormat="1" applyFont="1" applyBorder="1" applyAlignment="1">
      <alignment wrapText="1"/>
    </xf>
    <xf numFmtId="2" fontId="32" fillId="0" borderId="25" xfId="6" applyNumberFormat="1" applyFont="1" applyBorder="1" applyAlignment="1">
      <alignment wrapText="1"/>
    </xf>
    <xf numFmtId="2" fontId="32" fillId="34" borderId="18" xfId="6" applyNumberFormat="1" applyFont="1" applyFill="1" applyBorder="1" applyAlignment="1">
      <alignment wrapText="1"/>
    </xf>
    <xf numFmtId="2" fontId="32" fillId="34" borderId="19" xfId="6" applyNumberFormat="1" applyFont="1" applyFill="1" applyBorder="1" applyAlignment="1">
      <alignment wrapText="1"/>
    </xf>
    <xf numFmtId="2" fontId="32" fillId="34" borderId="16" xfId="6" applyNumberFormat="1" applyFont="1" applyFill="1" applyBorder="1" applyAlignment="1">
      <alignment wrapText="1"/>
    </xf>
    <xf numFmtId="2" fontId="34" fillId="0" borderId="18" xfId="6" applyNumberFormat="1" applyFont="1" applyBorder="1" applyAlignment="1">
      <alignment wrapText="1"/>
    </xf>
    <xf numFmtId="2" fontId="34" fillId="0" borderId="19" xfId="6" applyNumberFormat="1" applyFont="1" applyBorder="1" applyAlignment="1">
      <alignment wrapText="1"/>
    </xf>
    <xf numFmtId="2" fontId="34" fillId="0" borderId="16" xfId="6" applyNumberFormat="1" applyFont="1" applyBorder="1" applyAlignment="1">
      <alignment wrapText="1"/>
    </xf>
    <xf numFmtId="2" fontId="34" fillId="0" borderId="17" xfId="6" applyNumberFormat="1" applyFont="1" applyBorder="1" applyAlignment="1">
      <alignment horizontal="right" vertical="top" wrapText="1"/>
    </xf>
    <xf numFmtId="2" fontId="34" fillId="0" borderId="26" xfId="6" applyNumberFormat="1" applyFont="1" applyBorder="1" applyAlignment="1">
      <alignment horizontal="right" vertical="top" wrapText="1"/>
    </xf>
    <xf numFmtId="2" fontId="34" fillId="0" borderId="27" xfId="6" applyNumberFormat="1" applyFont="1" applyBorder="1" applyAlignment="1">
      <alignment horizontal="right" vertical="top" wrapText="1"/>
    </xf>
    <xf numFmtId="2" fontId="32" fillId="0" borderId="18" xfId="6" applyNumberFormat="1" applyFont="1" applyBorder="1" applyAlignment="1">
      <alignment wrapText="1"/>
    </xf>
    <xf numFmtId="2" fontId="32" fillId="0" borderId="19" xfId="6" applyNumberFormat="1" applyFont="1" applyBorder="1" applyAlignment="1">
      <alignment wrapText="1"/>
    </xf>
    <xf numFmtId="2" fontId="34" fillId="0" borderId="3" xfId="6" applyNumberFormat="1" applyFont="1" applyBorder="1" applyAlignment="1">
      <alignment horizontal="left" vertical="center" wrapText="1"/>
    </xf>
    <xf numFmtId="2" fontId="32" fillId="0" borderId="25" xfId="6" applyNumberFormat="1" applyFont="1" applyBorder="1" applyAlignment="1">
      <alignment horizontal="center" vertical="top" wrapText="1"/>
    </xf>
    <xf numFmtId="2" fontId="34" fillId="0" borderId="3" xfId="6" applyNumberFormat="1" applyFont="1" applyBorder="1" applyAlignment="1">
      <alignment horizontal="left" wrapText="1"/>
    </xf>
    <xf numFmtId="0" fontId="30" fillId="0" borderId="0" xfId="6" applyFont="1" applyFill="1" applyAlignment="1">
      <alignment horizontal="center"/>
    </xf>
    <xf numFmtId="0" fontId="36" fillId="0" borderId="0" xfId="6" applyFont="1" applyFill="1"/>
    <xf numFmtId="0" fontId="31" fillId="0" borderId="0" xfId="6" applyFont="1" applyFill="1" applyAlignment="1">
      <alignment horizontal="center"/>
    </xf>
    <xf numFmtId="175" fontId="29" fillId="0" borderId="0" xfId="6" applyNumberFormat="1" applyFont="1"/>
    <xf numFmtId="2" fontId="34" fillId="0" borderId="3" xfId="6" applyNumberFormat="1" applyFont="1" applyBorder="1" applyAlignment="1">
      <alignment vertical="center" wrapText="1"/>
    </xf>
    <xf numFmtId="2" fontId="34" fillId="0" borderId="0" xfId="6" applyNumberFormat="1" applyFont="1" applyBorder="1" applyAlignment="1">
      <alignment horizontal="center" vertical="top" wrapText="1"/>
    </xf>
    <xf numFmtId="2" fontId="32" fillId="0" borderId="0" xfId="6" applyNumberFormat="1" applyFont="1" applyBorder="1" applyAlignment="1">
      <alignment horizontal="center" vertical="top" wrapText="1"/>
    </xf>
    <xf numFmtId="175" fontId="34" fillId="0" borderId="3" xfId="6" applyNumberFormat="1" applyFont="1" applyBorder="1" applyAlignment="1">
      <alignment horizontal="center" vertical="top" wrapText="1"/>
    </xf>
    <xf numFmtId="0" fontId="29" fillId="0" borderId="0" xfId="6" applyFill="1" applyBorder="1"/>
    <xf numFmtId="2" fontId="32" fillId="0" borderId="0" xfId="6" applyNumberFormat="1" applyFont="1" applyFill="1" applyBorder="1" applyAlignment="1">
      <alignment vertical="center" wrapText="1"/>
    </xf>
    <xf numFmtId="2" fontId="34" fillId="0" borderId="0" xfId="6" applyNumberFormat="1" applyFont="1" applyFill="1" applyBorder="1" applyAlignment="1">
      <alignment horizontal="center" vertical="center" wrapText="1"/>
    </xf>
    <xf numFmtId="2" fontId="34" fillId="0" borderId="3" xfId="6" applyNumberFormat="1" applyFont="1" applyFill="1" applyBorder="1" applyAlignment="1">
      <alignment horizontal="left" vertical="center" wrapText="1"/>
    </xf>
    <xf numFmtId="175" fontId="34" fillId="0" borderId="3" xfId="6" applyNumberFormat="1" applyFont="1" applyBorder="1" applyAlignment="1">
      <alignment horizontal="center" vertical="center" wrapText="1"/>
    </xf>
    <xf numFmtId="0" fontId="29" fillId="0" borderId="0" xfId="6" applyFont="1" applyBorder="1"/>
    <xf numFmtId="0" fontId="37" fillId="0" borderId="0" xfId="6" applyFont="1" applyAlignment="1">
      <alignment horizontal="left" vertical="center" indent="1"/>
    </xf>
    <xf numFmtId="2" fontId="32" fillId="34" borderId="18" xfId="6" applyNumberFormat="1" applyFont="1" applyFill="1" applyBorder="1" applyAlignment="1">
      <alignment horizontal="center" vertical="center" wrapText="1"/>
    </xf>
    <xf numFmtId="0" fontId="38" fillId="0" borderId="3" xfId="6" applyFont="1" applyBorder="1" applyAlignment="1">
      <alignment vertical="center" wrapText="1"/>
    </xf>
    <xf numFmtId="2" fontId="34" fillId="0" borderId="18" xfId="6" applyNumberFormat="1" applyFont="1" applyBorder="1" applyAlignment="1">
      <alignment horizontal="center" vertical="center" wrapText="1"/>
    </xf>
    <xf numFmtId="2" fontId="29" fillId="0" borderId="0" xfId="6" applyNumberFormat="1" applyFont="1" applyFill="1" applyBorder="1" applyAlignment="1">
      <alignment horizontal="center" vertical="center"/>
    </xf>
    <xf numFmtId="0" fontId="25" fillId="0" borderId="3" xfId="6" applyFont="1" applyBorder="1" applyAlignment="1">
      <alignment vertical="center"/>
    </xf>
    <xf numFmtId="169" fontId="29" fillId="0" borderId="0" xfId="6" applyNumberFormat="1" applyAlignment="1">
      <alignment horizontal="center" vertical="center"/>
    </xf>
    <xf numFmtId="2" fontId="29" fillId="0" borderId="0" xfId="6" applyNumberFormat="1" applyFill="1" applyBorder="1" applyAlignment="1">
      <alignment horizontal="center"/>
    </xf>
    <xf numFmtId="2" fontId="25" fillId="0" borderId="3" xfId="6" applyNumberFormat="1" applyFont="1" applyBorder="1" applyAlignment="1">
      <alignment horizontal="left" vertical="top" wrapText="1"/>
    </xf>
    <xf numFmtId="2" fontId="32" fillId="0" borderId="18" xfId="6" applyNumberFormat="1" applyFont="1" applyBorder="1" applyAlignment="1">
      <alignment horizontal="center" vertical="center" wrapText="1"/>
    </xf>
    <xf numFmtId="2" fontId="31" fillId="0" borderId="0" xfId="6" applyNumberFormat="1" applyFont="1" applyFill="1" applyBorder="1" applyAlignment="1">
      <alignment horizontal="center" vertical="center"/>
    </xf>
    <xf numFmtId="2" fontId="29" fillId="0" borderId="3" xfId="6" applyNumberFormat="1" applyFont="1" applyBorder="1" applyAlignment="1">
      <alignment horizontal="center" vertical="center"/>
    </xf>
    <xf numFmtId="2" fontId="29" fillId="0" borderId="3" xfId="6" applyNumberFormat="1" applyBorder="1" applyAlignment="1">
      <alignment horizontal="center"/>
    </xf>
    <xf numFmtId="2" fontId="31" fillId="0" borderId="3" xfId="6" applyNumberFormat="1" applyFont="1" applyBorder="1" applyAlignment="1">
      <alignment horizontal="center" vertical="center"/>
    </xf>
    <xf numFmtId="2" fontId="29" fillId="0" borderId="3" xfId="6" applyNumberFormat="1" applyBorder="1" applyAlignment="1">
      <alignment horizontal="center" vertical="center"/>
    </xf>
    <xf numFmtId="2" fontId="32" fillId="0" borderId="3" xfId="6" applyNumberFormat="1" applyFont="1" applyBorder="1" applyAlignment="1">
      <alignment horizontal="center" vertical="center" wrapText="1"/>
    </xf>
    <xf numFmtId="2" fontId="32" fillId="34" borderId="16" xfId="6" applyNumberFormat="1" applyFont="1" applyFill="1" applyBorder="1" applyAlignment="1">
      <alignment horizontal="center" vertical="center" wrapText="1"/>
    </xf>
    <xf numFmtId="0" fontId="39" fillId="0" borderId="0" xfId="6" applyFont="1"/>
    <xf numFmtId="2" fontId="34" fillId="0" borderId="3" xfId="6" applyNumberFormat="1" applyFont="1" applyBorder="1"/>
    <xf numFmtId="2" fontId="32" fillId="0" borderId="19" xfId="6" applyNumberFormat="1" applyFont="1" applyBorder="1" applyAlignment="1">
      <alignment horizontal="center" vertical="top" wrapText="1"/>
    </xf>
    <xf numFmtId="1" fontId="34" fillId="0" borderId="3" xfId="6" applyNumberFormat="1" applyFont="1" applyBorder="1" applyAlignment="1">
      <alignment horizontal="center" vertical="center" wrapText="1"/>
    </xf>
    <xf numFmtId="0" fontId="31" fillId="0" borderId="0" xfId="6" applyFont="1"/>
    <xf numFmtId="0" fontId="38" fillId="0" borderId="3" xfId="6" applyFont="1" applyBorder="1" applyAlignment="1">
      <alignment vertical="center"/>
    </xf>
    <xf numFmtId="169" fontId="34" fillId="0" borderId="3" xfId="6" applyNumberFormat="1" applyFont="1" applyBorder="1" applyAlignment="1">
      <alignment horizontal="center" vertical="center" wrapText="1"/>
    </xf>
    <xf numFmtId="2" fontId="34" fillId="0" borderId="3" xfId="6" applyNumberFormat="1" applyFont="1" applyFill="1" applyBorder="1" applyAlignment="1">
      <alignment horizontal="center" vertical="top" wrapText="1"/>
    </xf>
    <xf numFmtId="0" fontId="39" fillId="0" borderId="0" xfId="6" applyFont="1" applyFill="1" applyBorder="1"/>
    <xf numFmtId="0" fontId="29" fillId="0" borderId="3" xfId="6" applyFont="1" applyBorder="1" applyAlignment="1">
      <alignment horizontal="center" vertical="center"/>
    </xf>
    <xf numFmtId="0" fontId="31" fillId="0" borderId="3" xfId="6" applyFont="1" applyBorder="1" applyAlignment="1">
      <alignment horizontal="center" vertical="center"/>
    </xf>
    <xf numFmtId="169" fontId="34" fillId="0" borderId="3" xfId="6" applyNumberFormat="1" applyFont="1" applyBorder="1" applyAlignment="1">
      <alignment horizontal="center" vertical="top" wrapText="1"/>
    </xf>
    <xf numFmtId="2" fontId="32" fillId="0" borderId="3" xfId="6" applyNumberFormat="1" applyFont="1" applyBorder="1" applyAlignment="1">
      <alignment horizontal="center" wrapText="1"/>
    </xf>
    <xf numFmtId="0" fontId="29" fillId="0" borderId="3" xfId="6" applyFont="1" applyBorder="1" applyAlignment="1">
      <alignment horizontal="center"/>
    </xf>
    <xf numFmtId="0" fontId="34" fillId="0" borderId="3" xfId="6" applyFont="1" applyBorder="1" applyAlignment="1">
      <alignment vertical="center" wrapText="1"/>
    </xf>
    <xf numFmtId="2" fontId="32" fillId="0" borderId="16" xfId="6" applyNumberFormat="1" applyFont="1" applyBorder="1" applyAlignment="1">
      <alignment horizontal="center" vertical="top" wrapText="1"/>
    </xf>
    <xf numFmtId="0" fontId="29" fillId="0" borderId="25" xfId="6" applyFont="1" applyFill="1" applyBorder="1" applyAlignment="1"/>
    <xf numFmtId="0" fontId="41" fillId="0" borderId="0" xfId="6" applyFont="1" applyFill="1" applyBorder="1" applyAlignment="1"/>
    <xf numFmtId="2" fontId="26" fillId="34" borderId="3" xfId="0" applyNumberFormat="1" applyFont="1" applyFill="1" applyBorder="1" applyAlignment="1">
      <alignment horizontal="center" vertical="center" wrapText="1"/>
    </xf>
    <xf numFmtId="2" fontId="25" fillId="0" borderId="0" xfId="0" applyNumberFormat="1" applyFont="1"/>
    <xf numFmtId="2" fontId="25" fillId="0" borderId="3" xfId="0" applyNumberFormat="1" applyFont="1" applyBorder="1" applyAlignment="1">
      <alignment horizontal="center" vertical="center" wrapText="1"/>
    </xf>
    <xf numFmtId="0" fontId="25" fillId="0" borderId="3" xfId="0" applyFont="1" applyBorder="1" applyAlignment="1">
      <alignment horizontal="center" vertical="center" wrapText="1"/>
    </xf>
    <xf numFmtId="4" fontId="25" fillId="0" borderId="3" xfId="0" applyNumberFormat="1" applyFont="1" applyBorder="1" applyAlignment="1">
      <alignment horizontal="center" vertical="center" wrapText="1"/>
    </xf>
    <xf numFmtId="176" fontId="25" fillId="0" borderId="3" xfId="0" applyNumberFormat="1" applyFont="1" applyBorder="1" applyAlignment="1">
      <alignment horizontal="center" vertical="center" wrapText="1"/>
    </xf>
    <xf numFmtId="177" fontId="26" fillId="0" borderId="3" xfId="0" applyNumberFormat="1" applyFont="1" applyBorder="1" applyAlignment="1">
      <alignment horizontal="center" vertical="center" wrapText="1"/>
    </xf>
    <xf numFmtId="10" fontId="9" fillId="0" borderId="29" xfId="10" applyNumberFormat="1" applyFont="1" applyBorder="1" applyAlignment="1" applyProtection="1">
      <alignment horizontal="center" vertical="center"/>
    </xf>
    <xf numFmtId="0" fontId="9" fillId="0" borderId="29" xfId="0" applyFont="1" applyBorder="1" applyAlignment="1">
      <alignment horizontal="center" vertical="center"/>
    </xf>
    <xf numFmtId="0" fontId="0" fillId="0" borderId="29" xfId="0" applyFont="1" applyBorder="1" applyAlignment="1">
      <alignment vertical="center" wrapText="1"/>
    </xf>
    <xf numFmtId="0" fontId="42" fillId="0" borderId="0" xfId="9" applyFont="1" applyFill="1" applyAlignment="1">
      <alignment wrapText="1"/>
    </xf>
    <xf numFmtId="2" fontId="26" fillId="0" borderId="0" xfId="9" applyNumberFormat="1" applyFont="1" applyAlignment="1"/>
    <xf numFmtId="2" fontId="26" fillId="0" borderId="0" xfId="9" applyNumberFormat="1" applyFont="1" applyAlignment="1">
      <alignment wrapText="1"/>
    </xf>
    <xf numFmtId="2" fontId="26" fillId="34" borderId="3" xfId="9" applyNumberFormat="1" applyFont="1" applyFill="1" applyBorder="1" applyAlignment="1">
      <alignment horizontal="center" vertical="center" wrapText="1"/>
    </xf>
    <xf numFmtId="2" fontId="26" fillId="0" borderId="0" xfId="9" applyNumberFormat="1" applyFont="1" applyFill="1" applyBorder="1" applyAlignment="1">
      <alignment horizontal="left" vertical="center" wrapText="1"/>
    </xf>
    <xf numFmtId="2" fontId="26" fillId="0" borderId="0" xfId="0" applyNumberFormat="1" applyFont="1" applyFill="1" applyBorder="1" applyAlignment="1">
      <alignment vertical="center" wrapText="1"/>
    </xf>
    <xf numFmtId="0" fontId="0" fillId="0" borderId="0" xfId="0" applyFill="1" applyBorder="1"/>
    <xf numFmtId="2" fontId="26" fillId="0" borderId="0" xfId="0" applyNumberFormat="1" applyFont="1" applyFill="1" applyBorder="1" applyAlignment="1">
      <alignment wrapText="1"/>
    </xf>
    <xf numFmtId="177" fontId="25" fillId="0" borderId="0" xfId="0" applyNumberFormat="1" applyFont="1" applyFill="1" applyBorder="1" applyAlignment="1">
      <alignment vertical="center" wrapText="1"/>
    </xf>
    <xf numFmtId="10" fontId="9" fillId="0" borderId="0" xfId="1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0" fillId="0" borderId="0" xfId="0" applyFont="1" applyFill="1" applyBorder="1" applyAlignment="1">
      <alignment vertical="center" wrapText="1"/>
    </xf>
    <xf numFmtId="2" fontId="25" fillId="0" borderId="3" xfId="9" applyNumberFormat="1" applyFont="1" applyBorder="1" applyAlignment="1">
      <alignment horizontal="center" vertical="center" wrapText="1"/>
    </xf>
    <xf numFmtId="2" fontId="25" fillId="0" borderId="3" xfId="9" applyNumberFormat="1" applyFont="1" applyFill="1" applyBorder="1" applyAlignment="1">
      <alignment horizontal="center" vertical="center" wrapText="1"/>
    </xf>
    <xf numFmtId="2" fontId="25" fillId="0" borderId="0" xfId="9" applyNumberFormat="1" applyFont="1" applyFill="1" applyBorder="1" applyAlignment="1">
      <alignment horizontal="center" vertical="center" wrapText="1"/>
    </xf>
    <xf numFmtId="0" fontId="38" fillId="0" borderId="0" xfId="9" applyFont="1" applyBorder="1" applyAlignment="1">
      <alignment vertical="center"/>
    </xf>
    <xf numFmtId="1" fontId="25" fillId="0" borderId="0" xfId="9" applyNumberFormat="1" applyFont="1" applyBorder="1" applyAlignment="1">
      <alignment horizontal="center" vertical="top"/>
    </xf>
    <xf numFmtId="2" fontId="25" fillId="0" borderId="0" xfId="9" applyNumberFormat="1" applyFont="1" applyBorder="1" applyAlignment="1">
      <alignment horizontal="center" vertical="top" wrapText="1"/>
    </xf>
    <xf numFmtId="2" fontId="25" fillId="0" borderId="0" xfId="9" applyNumberFormat="1" applyFont="1" applyFill="1" applyBorder="1" applyAlignment="1">
      <alignment horizontal="center" vertical="top" wrapText="1"/>
    </xf>
    <xf numFmtId="2" fontId="25" fillId="0" borderId="0" xfId="9" applyNumberFormat="1" applyFont="1" applyBorder="1" applyAlignment="1">
      <alignment horizontal="center" vertical="center" wrapText="1"/>
    </xf>
    <xf numFmtId="0" fontId="42" fillId="35" borderId="30" xfId="9" applyFont="1" applyFill="1" applyBorder="1" applyAlignment="1">
      <alignment wrapText="1"/>
    </xf>
    <xf numFmtId="0" fontId="42" fillId="35" borderId="31" xfId="9" applyFont="1" applyFill="1" applyBorder="1" applyAlignment="1">
      <alignment horizontal="center" wrapText="1"/>
    </xf>
    <xf numFmtId="0" fontId="42" fillId="35" borderId="30" xfId="9" applyFont="1" applyFill="1" applyBorder="1" applyAlignment="1">
      <alignment horizontal="center" wrapText="1"/>
    </xf>
    <xf numFmtId="0" fontId="42" fillId="35" borderId="31" xfId="9" applyFont="1" applyFill="1" applyBorder="1" applyAlignment="1">
      <alignment horizontal="right" wrapText="1"/>
    </xf>
    <xf numFmtId="0" fontId="25" fillId="28" borderId="3" xfId="11" applyFont="1" applyFill="1" applyBorder="1" applyAlignment="1">
      <alignment vertical="center" wrapText="1"/>
    </xf>
    <xf numFmtId="0" fontId="43" fillId="0" borderId="32" xfId="9" applyFont="1" applyFill="1" applyBorder="1" applyAlignment="1">
      <alignment horizontal="center" vertical="top" wrapText="1"/>
    </xf>
    <xf numFmtId="0" fontId="25" fillId="0" borderId="3" xfId="9" applyFont="1" applyBorder="1" applyAlignment="1">
      <alignment wrapText="1"/>
    </xf>
    <xf numFmtId="0" fontId="43" fillId="0" borderId="33" xfId="9" applyFont="1" applyFill="1" applyBorder="1" applyAlignment="1">
      <alignment horizontal="right" vertical="top" wrapText="1"/>
    </xf>
    <xf numFmtId="0" fontId="43" fillId="0" borderId="31" xfId="9" applyFont="1" applyFill="1" applyBorder="1" applyAlignment="1">
      <alignment horizontal="right" vertical="top" wrapText="1"/>
    </xf>
    <xf numFmtId="0" fontId="43" fillId="0" borderId="30" xfId="9" applyFont="1" applyFill="1" applyBorder="1" applyAlignment="1">
      <alignment horizontal="left" vertical="top" wrapText="1"/>
    </xf>
    <xf numFmtId="0" fontId="43" fillId="0" borderId="37" xfId="9" applyFont="1" applyFill="1" applyBorder="1" applyAlignment="1">
      <alignment horizontal="center" vertical="center" wrapText="1"/>
    </xf>
    <xf numFmtId="0" fontId="25" fillId="0" borderId="38" xfId="9" applyFont="1" applyBorder="1" applyAlignment="1">
      <alignment horizontal="center" vertical="center" wrapText="1"/>
    </xf>
    <xf numFmtId="0" fontId="43" fillId="0" borderId="30" xfId="9" applyFont="1" applyFill="1" applyBorder="1" applyAlignment="1">
      <alignment horizontal="center" vertical="center" wrapText="1"/>
    </xf>
    <xf numFmtId="0" fontId="43" fillId="0" borderId="0" xfId="9" applyFont="1" applyFill="1" applyAlignment="1"/>
    <xf numFmtId="178" fontId="43" fillId="0" borderId="31" xfId="9" applyNumberFormat="1" applyFont="1" applyFill="1" applyBorder="1" applyAlignment="1">
      <alignment horizontal="right" wrapText="1"/>
    </xf>
    <xf numFmtId="178" fontId="42" fillId="0" borderId="31" xfId="9" applyNumberFormat="1" applyFont="1" applyFill="1" applyBorder="1" applyAlignment="1">
      <alignment horizontal="right" wrapText="1"/>
    </xf>
    <xf numFmtId="178" fontId="43" fillId="0" borderId="31" xfId="9" applyNumberFormat="1" applyFont="1" applyFill="1" applyBorder="1" applyAlignment="1">
      <alignment horizontal="right" vertical="top" wrapText="1"/>
    </xf>
    <xf numFmtId="2" fontId="43" fillId="0" borderId="30" xfId="9" applyNumberFormat="1" applyFont="1" applyFill="1" applyBorder="1" applyAlignment="1">
      <alignment horizontal="center" vertical="center" wrapText="1"/>
    </xf>
    <xf numFmtId="178" fontId="43" fillId="0" borderId="30" xfId="9" applyNumberFormat="1" applyFont="1" applyFill="1" applyBorder="1" applyAlignment="1">
      <alignment horizontal="center" vertical="center" wrapText="1"/>
    </xf>
    <xf numFmtId="178" fontId="42" fillId="0" borderId="27" xfId="9" applyNumberFormat="1" applyFont="1" applyFill="1" applyBorder="1" applyAlignment="1">
      <alignment horizontal="right" wrapText="1"/>
    </xf>
    <xf numFmtId="2" fontId="34" fillId="0" borderId="0" xfId="6" applyNumberFormat="1" applyFont="1" applyFill="1" applyBorder="1" applyAlignment="1">
      <alignment horizontal="center" vertical="top" wrapText="1"/>
    </xf>
    <xf numFmtId="2" fontId="32" fillId="0" borderId="0" xfId="6" applyNumberFormat="1" applyFont="1" applyFill="1" applyBorder="1" applyAlignment="1">
      <alignment horizontal="center" vertical="top" wrapText="1"/>
    </xf>
    <xf numFmtId="2" fontId="25" fillId="0" borderId="0" xfId="5" applyNumberFormat="1" applyFont="1" applyBorder="1" applyProtection="1"/>
    <xf numFmtId="2" fontId="26" fillId="34" borderId="3" xfId="5" applyNumberFormat="1" applyFont="1" applyFill="1" applyBorder="1" applyAlignment="1" applyProtection="1">
      <alignment horizontal="center" vertical="center" wrapText="1"/>
    </xf>
    <xf numFmtId="2" fontId="25" fillId="0" borderId="3" xfId="5" applyNumberFormat="1" applyFont="1" applyBorder="1" applyAlignment="1" applyProtection="1">
      <alignment horizontal="left" vertical="top" wrapText="1"/>
    </xf>
    <xf numFmtId="2" fontId="25" fillId="0" borderId="3" xfId="5" applyNumberFormat="1" applyFont="1" applyBorder="1" applyAlignment="1" applyProtection="1">
      <alignment horizontal="center" vertical="top" wrapText="1"/>
    </xf>
    <xf numFmtId="0" fontId="25" fillId="0" borderId="3" xfId="5" applyFont="1" applyBorder="1" applyAlignment="1" applyProtection="1">
      <alignment horizontal="center" vertical="top" wrapText="1"/>
    </xf>
    <xf numFmtId="2" fontId="25" fillId="0" borderId="3" xfId="5" applyNumberFormat="1" applyFont="1" applyBorder="1" applyAlignment="1" applyProtection="1">
      <alignment horizontal="right" vertical="top" wrapText="1"/>
    </xf>
    <xf numFmtId="2" fontId="26" fillId="0" borderId="3" xfId="5" applyNumberFormat="1" applyFont="1" applyBorder="1" applyAlignment="1" applyProtection="1">
      <alignment horizontal="right" wrapText="1"/>
    </xf>
    <xf numFmtId="169" fontId="25" fillId="0" borderId="3" xfId="5" applyNumberFormat="1" applyFont="1" applyBorder="1" applyAlignment="1" applyProtection="1">
      <alignment horizontal="right" vertical="top" wrapText="1"/>
    </xf>
    <xf numFmtId="2" fontId="26" fillId="34" borderId="3" xfId="5" applyNumberFormat="1" applyFont="1" applyFill="1" applyBorder="1" applyAlignment="1" applyProtection="1">
      <alignment horizontal="right" wrapText="1"/>
    </xf>
    <xf numFmtId="2" fontId="25" fillId="0" borderId="3" xfId="5" applyNumberFormat="1" applyFont="1" applyBorder="1" applyAlignment="1" applyProtection="1">
      <alignment horizontal="right" wrapText="1"/>
    </xf>
    <xf numFmtId="2" fontId="0" fillId="0" borderId="0" xfId="5" applyNumberFormat="1" applyFont="1" applyBorder="1" applyProtection="1"/>
    <xf numFmtId="0" fontId="34" fillId="0" borderId="0" xfId="0" applyFont="1" applyAlignment="1">
      <alignment vertical="center" wrapText="1"/>
    </xf>
    <xf numFmtId="0" fontId="34" fillId="0" borderId="0" xfId="0" applyFont="1" applyAlignment="1">
      <alignment wrapText="1"/>
    </xf>
    <xf numFmtId="179" fontId="34" fillId="0" borderId="3" xfId="6" applyNumberFormat="1" applyFont="1" applyBorder="1" applyAlignment="1">
      <alignment horizontal="center" vertical="top" wrapText="1"/>
    </xf>
    <xf numFmtId="0" fontId="38" fillId="0" borderId="3" xfId="0" applyFont="1" applyBorder="1" applyAlignment="1">
      <alignment vertical="center"/>
    </xf>
    <xf numFmtId="2" fontId="25" fillId="0" borderId="3" xfId="0" applyNumberFormat="1" applyFont="1" applyBorder="1" applyAlignment="1">
      <alignment horizontal="center" vertical="top" wrapText="1"/>
    </xf>
    <xf numFmtId="2" fontId="44" fillId="0" borderId="3" xfId="0" applyNumberFormat="1" applyFont="1" applyBorder="1" applyAlignment="1">
      <alignment horizontal="center" vertical="top" wrapText="1"/>
    </xf>
    <xf numFmtId="0" fontId="43" fillId="0" borderId="31" xfId="0" applyFont="1" applyFill="1" applyBorder="1" applyAlignment="1">
      <alignment horizontal="left" vertical="top" wrapText="1"/>
    </xf>
    <xf numFmtId="0" fontId="43" fillId="0" borderId="31" xfId="0" applyFont="1" applyFill="1" applyBorder="1" applyAlignment="1">
      <alignment horizontal="center" vertical="top" wrapText="1"/>
    </xf>
    <xf numFmtId="0" fontId="43" fillId="0" borderId="31" xfId="0" applyFont="1" applyFill="1" applyBorder="1" applyAlignment="1">
      <alignment horizontal="right" vertical="top" wrapText="1"/>
    </xf>
    <xf numFmtId="0" fontId="22" fillId="14" borderId="0" xfId="8" applyFont="1" applyFill="1"/>
    <xf numFmtId="0" fontId="11" fillId="14" borderId="0" xfId="8" applyFill="1"/>
    <xf numFmtId="0" fontId="22" fillId="0" borderId="0" xfId="8" applyFont="1" applyFill="1"/>
    <xf numFmtId="0" fontId="22" fillId="17" borderId="0" xfId="8" applyFont="1" applyFill="1"/>
    <xf numFmtId="0" fontId="11" fillId="21" borderId="0" xfId="8" applyFill="1"/>
    <xf numFmtId="0" fontId="11" fillId="0" borderId="0" xfId="8"/>
    <xf numFmtId="0" fontId="11" fillId="0" borderId="0" xfId="8" applyAlignment="1"/>
    <xf numFmtId="0" fontId="11" fillId="0" borderId="0" xfId="8" applyAlignment="1">
      <alignment horizontal="center" vertical="center"/>
    </xf>
    <xf numFmtId="167" fontId="11" fillId="0" borderId="0" xfId="8" applyNumberFormat="1" applyAlignment="1">
      <alignment horizontal="center" vertical="center"/>
    </xf>
    <xf numFmtId="0" fontId="25" fillId="3" borderId="0" xfId="8" applyFont="1" applyFill="1" applyBorder="1" applyAlignment="1">
      <alignment horizontal="center" vertical="center"/>
    </xf>
    <xf numFmtId="0" fontId="25" fillId="3" borderId="0" xfId="8" applyFont="1" applyFill="1" applyBorder="1" applyAlignment="1">
      <alignment horizontal="center"/>
    </xf>
    <xf numFmtId="0" fontId="26" fillId="3" borderId="3" xfId="8" applyFont="1" applyFill="1" applyBorder="1" applyAlignment="1">
      <alignment horizontal="left" vertical="center" wrapText="1"/>
    </xf>
    <xf numFmtId="0" fontId="27" fillId="0" borderId="25" xfId="8" applyFont="1" applyFill="1" applyBorder="1" applyAlignment="1">
      <alignment horizontal="center" vertical="center" wrapText="1"/>
    </xf>
    <xf numFmtId="0" fontId="46" fillId="13" borderId="26" xfId="8" applyFont="1" applyFill="1" applyBorder="1" applyAlignment="1">
      <alignment horizontal="center" vertical="center" wrapText="1"/>
    </xf>
    <xf numFmtId="0" fontId="27" fillId="13" borderId="27" xfId="8" applyFont="1" applyFill="1" applyBorder="1" applyAlignment="1">
      <alignment horizontal="center" vertical="center" wrapText="1"/>
    </xf>
    <xf numFmtId="0" fontId="11" fillId="0" borderId="0" xfId="8" applyFill="1"/>
    <xf numFmtId="167" fontId="27" fillId="13" borderId="3" xfId="8" applyNumberFormat="1" applyFont="1" applyFill="1" applyBorder="1" applyAlignment="1">
      <alignment horizontal="center" vertical="center" wrapText="1"/>
    </xf>
    <xf numFmtId="167" fontId="27" fillId="0" borderId="3" xfId="8" applyNumberFormat="1" applyFont="1" applyFill="1" applyBorder="1" applyAlignment="1">
      <alignment horizontal="center" vertical="center" wrapText="1"/>
    </xf>
    <xf numFmtId="167" fontId="24" fillId="0" borderId="3" xfId="8" applyNumberFormat="1" applyFont="1" applyFill="1" applyBorder="1" applyAlignment="1">
      <alignment horizontal="center" vertical="center" wrapText="1"/>
    </xf>
    <xf numFmtId="9" fontId="24" fillId="0" borderId="3" xfId="8" applyNumberFormat="1" applyFont="1" applyFill="1" applyBorder="1" applyAlignment="1">
      <alignment horizontal="right" vertical="center" wrapText="1"/>
    </xf>
    <xf numFmtId="9" fontId="24" fillId="0" borderId="3" xfId="8" applyNumberFormat="1" applyFont="1" applyFill="1" applyBorder="1" applyAlignment="1">
      <alignment horizontal="center" vertical="center" wrapText="1"/>
    </xf>
    <xf numFmtId="0" fontId="8" fillId="0" borderId="3" xfId="8" applyFont="1" applyFill="1" applyBorder="1" applyAlignment="1"/>
    <xf numFmtId="167" fontId="24" fillId="0" borderId="3" xfId="8" applyNumberFormat="1" applyFont="1" applyFill="1" applyBorder="1" applyAlignment="1">
      <alignment vertical="center" wrapText="1"/>
    </xf>
    <xf numFmtId="0" fontId="8" fillId="0" borderId="3" xfId="8" applyFont="1" applyFill="1" applyBorder="1"/>
    <xf numFmtId="167" fontId="47" fillId="0" borderId="3" xfId="8" applyNumberFormat="1" applyFont="1" applyFill="1" applyBorder="1" applyAlignment="1">
      <alignment horizontal="center" vertical="center" wrapText="1"/>
    </xf>
    <xf numFmtId="0" fontId="22" fillId="0" borderId="3" xfId="8" applyFont="1" applyFill="1" applyBorder="1" applyAlignment="1"/>
    <xf numFmtId="0" fontId="8" fillId="0" borderId="0" xfId="8" applyFont="1" applyFill="1" applyAlignment="1"/>
    <xf numFmtId="0" fontId="24" fillId="0" borderId="42" xfId="8" applyFont="1" applyFill="1" applyBorder="1" applyAlignment="1">
      <alignment horizontal="left" vertical="center"/>
    </xf>
    <xf numFmtId="0" fontId="25" fillId="0" borderId="43" xfId="8" applyFont="1" applyFill="1" applyBorder="1" applyAlignment="1">
      <alignment horizontal="left" vertical="center" wrapText="1"/>
    </xf>
    <xf numFmtId="180" fontId="25" fillId="0" borderId="3" xfId="8" applyNumberFormat="1" applyFont="1" applyBorder="1" applyAlignment="1">
      <alignment horizontal="right" vertical="center" wrapText="1"/>
    </xf>
    <xf numFmtId="0" fontId="27" fillId="3" borderId="3" xfId="8" applyFont="1" applyFill="1" applyBorder="1" applyAlignment="1">
      <alignment horizontal="center" vertical="center" wrapText="1"/>
    </xf>
    <xf numFmtId="0" fontId="27" fillId="13" borderId="3" xfId="8" applyFont="1" applyFill="1" applyBorder="1" applyAlignment="1">
      <alignment horizontal="left" vertical="center"/>
    </xf>
    <xf numFmtId="10" fontId="27" fillId="13" borderId="3" xfId="8" applyNumberFormat="1" applyFont="1" applyFill="1" applyBorder="1" applyAlignment="1">
      <alignment horizontal="center" vertical="center" wrapText="1"/>
    </xf>
    <xf numFmtId="167" fontId="48" fillId="0" borderId="3" xfId="8" applyNumberFormat="1" applyFont="1" applyFill="1" applyBorder="1" applyAlignment="1">
      <alignment horizontal="center" vertical="center" wrapText="1"/>
    </xf>
    <xf numFmtId="0" fontId="8" fillId="0" borderId="0" xfId="8" applyFont="1" applyFill="1"/>
    <xf numFmtId="167" fontId="22" fillId="0" borderId="0" xfId="8" applyNumberFormat="1" applyFont="1" applyFill="1"/>
    <xf numFmtId="167" fontId="11" fillId="0" borderId="0" xfId="8" applyNumberFormat="1"/>
    <xf numFmtId="4" fontId="11" fillId="0" borderId="0" xfId="8" applyNumberFormat="1"/>
    <xf numFmtId="10" fontId="11" fillId="0" borderId="0" xfId="8" applyNumberFormat="1"/>
    <xf numFmtId="167" fontId="27" fillId="0" borderId="3" xfId="8" applyNumberFormat="1" applyFont="1" applyBorder="1" applyAlignment="1">
      <alignment horizontal="left" vertical="center" wrapText="1"/>
    </xf>
    <xf numFmtId="167" fontId="25" fillId="13" borderId="3" xfId="8" applyNumberFormat="1" applyFont="1" applyFill="1" applyBorder="1" applyAlignment="1">
      <alignment horizontal="center" vertical="center" wrapText="1"/>
    </xf>
    <xf numFmtId="10" fontId="11" fillId="0" borderId="3" xfId="10" applyNumberFormat="1" applyFill="1" applyBorder="1" applyAlignment="1">
      <alignment horizontal="center" vertical="center"/>
    </xf>
    <xf numFmtId="181" fontId="11" fillId="0" borderId="0" xfId="8" applyNumberFormat="1" applyAlignment="1"/>
    <xf numFmtId="10" fontId="0" fillId="0" borderId="0" xfId="10" applyNumberFormat="1" applyFont="1" applyBorder="1" applyAlignment="1" applyProtection="1"/>
    <xf numFmtId="0" fontId="11" fillId="0" borderId="20" xfId="8" applyBorder="1" applyAlignment="1"/>
    <xf numFmtId="0" fontId="49" fillId="0" borderId="28" xfId="8" applyFont="1" applyBorder="1"/>
    <xf numFmtId="0" fontId="20" fillId="0" borderId="28" xfId="8" applyFont="1" applyBorder="1"/>
    <xf numFmtId="0" fontId="11" fillId="0" borderId="21" xfId="8" applyBorder="1" applyAlignment="1">
      <alignment horizontal="center" vertical="center"/>
    </xf>
    <xf numFmtId="0" fontId="11" fillId="0" borderId="46" xfId="8" applyBorder="1" applyAlignment="1"/>
    <xf numFmtId="0" fontId="49" fillId="0" borderId="0" xfId="8" applyFont="1"/>
    <xf numFmtId="0" fontId="20" fillId="0" borderId="0" xfId="8" applyFont="1"/>
    <xf numFmtId="167" fontId="11" fillId="0" borderId="47" xfId="8" applyNumberFormat="1" applyBorder="1" applyAlignment="1">
      <alignment horizontal="center" vertical="center"/>
    </xf>
    <xf numFmtId="0" fontId="11" fillId="0" borderId="22" xfId="8" applyBorder="1" applyAlignment="1"/>
    <xf numFmtId="0" fontId="49" fillId="0" borderId="25" xfId="8" applyFont="1" applyBorder="1"/>
    <xf numFmtId="0" fontId="20" fillId="0" borderId="25" xfId="8" applyFont="1" applyBorder="1"/>
    <xf numFmtId="167" fontId="11" fillId="0" borderId="23" xfId="8" applyNumberFormat="1" applyBorder="1" applyAlignment="1">
      <alignment horizontal="center" vertical="center"/>
    </xf>
    <xf numFmtId="0" fontId="11" fillId="0" borderId="28" xfId="8" applyBorder="1" applyAlignment="1"/>
    <xf numFmtId="167" fontId="11" fillId="0" borderId="0" xfId="8" applyNumberFormat="1" applyAlignment="1"/>
    <xf numFmtId="0" fontId="11" fillId="0" borderId="25" xfId="8" applyBorder="1" applyAlignment="1"/>
    <xf numFmtId="167" fontId="26" fillId="13" borderId="3" xfId="8" applyNumberFormat="1" applyFont="1" applyFill="1" applyBorder="1" applyAlignment="1">
      <alignment horizontal="center" vertical="center" wrapText="1"/>
    </xf>
    <xf numFmtId="10" fontId="9" fillId="0" borderId="3" xfId="10" applyNumberFormat="1" applyFont="1" applyFill="1" applyBorder="1" applyAlignment="1">
      <alignment horizontal="center" vertical="center"/>
    </xf>
    <xf numFmtId="0" fontId="11" fillId="0" borderId="21" xfId="8" applyBorder="1" applyAlignment="1"/>
    <xf numFmtId="0" fontId="11" fillId="0" borderId="47" xfId="8" applyBorder="1" applyAlignment="1"/>
    <xf numFmtId="0" fontId="11" fillId="0" borderId="23" xfId="8" applyBorder="1" applyAlignment="1"/>
    <xf numFmtId="0" fontId="50" fillId="37" borderId="0" xfId="5" applyFont="1" applyFill="1" applyBorder="1" applyAlignment="1" applyProtection="1">
      <alignment vertical="center"/>
    </xf>
    <xf numFmtId="0" fontId="50" fillId="38" borderId="0" xfId="5" applyFont="1" applyFill="1" applyBorder="1" applyAlignment="1" applyProtection="1">
      <alignment vertical="center"/>
    </xf>
    <xf numFmtId="0" fontId="0" fillId="26" borderId="0" xfId="0" applyFill="1"/>
    <xf numFmtId="0" fontId="0" fillId="31" borderId="0" xfId="0" applyFill="1"/>
    <xf numFmtId="0" fontId="0" fillId="24" borderId="0" xfId="0" applyFill="1"/>
    <xf numFmtId="0" fontId="50" fillId="39" borderId="0" xfId="5" applyFont="1" applyFill="1" applyBorder="1" applyAlignment="1" applyProtection="1">
      <alignment vertical="center"/>
    </xf>
    <xf numFmtId="0" fontId="50" fillId="3" borderId="0" xfId="5" applyFont="1" applyFill="1" applyBorder="1" applyAlignment="1" applyProtection="1">
      <alignment vertical="center"/>
    </xf>
    <xf numFmtId="0" fontId="50" fillId="40" borderId="0" xfId="5" applyFont="1" applyFill="1" applyBorder="1" applyAlignment="1" applyProtection="1">
      <alignment vertical="center"/>
    </xf>
    <xf numFmtId="0" fontId="50" fillId="0" borderId="0" xfId="5" applyFont="1" applyFill="1" applyBorder="1" applyAlignment="1" applyProtection="1">
      <alignment vertical="center"/>
    </xf>
    <xf numFmtId="0" fontId="50" fillId="41" borderId="0" xfId="5" applyFont="1" applyFill="1" applyBorder="1" applyAlignment="1" applyProtection="1">
      <alignment vertical="center"/>
    </xf>
    <xf numFmtId="0" fontId="50" fillId="26" borderId="0" xfId="5" applyFont="1" applyFill="1" applyBorder="1" applyAlignment="1" applyProtection="1">
      <alignment vertical="center"/>
    </xf>
    <xf numFmtId="0" fontId="0" fillId="14" borderId="0" xfId="0" applyFill="1"/>
    <xf numFmtId="0" fontId="50" fillId="0" borderId="0" xfId="5" applyFont="1" applyBorder="1" applyAlignment="1" applyProtection="1">
      <alignment horizontal="center" vertical="center"/>
    </xf>
    <xf numFmtId="0" fontId="50" fillId="0" borderId="0" xfId="5" applyFont="1" applyBorder="1" applyAlignment="1" applyProtection="1">
      <alignment horizontal="left" vertical="center"/>
    </xf>
    <xf numFmtId="4" fontId="50" fillId="0" borderId="0" xfId="5" applyNumberFormat="1" applyFont="1" applyBorder="1" applyAlignment="1" applyProtection="1">
      <alignment horizontal="center" vertical="center"/>
    </xf>
    <xf numFmtId="167" fontId="50" fillId="0" borderId="0" xfId="5" applyNumberFormat="1" applyFont="1" applyBorder="1" applyAlignment="1" applyProtection="1">
      <alignment horizontal="center" vertical="center"/>
    </xf>
    <xf numFmtId="167" fontId="50" fillId="0" borderId="0" xfId="5" applyNumberFormat="1" applyFont="1" applyBorder="1" applyAlignment="1" applyProtection="1">
      <alignment vertical="center"/>
    </xf>
    <xf numFmtId="181" fontId="51" fillId="0" borderId="0" xfId="5" applyNumberFormat="1" applyFont="1" applyBorder="1" applyAlignment="1" applyProtection="1">
      <alignment horizontal="center" vertical="center"/>
    </xf>
    <xf numFmtId="181" fontId="51" fillId="0" borderId="0" xfId="5" applyNumberFormat="1" applyFont="1" applyBorder="1" applyAlignment="1" applyProtection="1">
      <alignment horizontal="right" vertical="center"/>
    </xf>
    <xf numFmtId="0" fontId="50" fillId="0" borderId="0" xfId="5" applyFont="1" applyBorder="1" applyAlignment="1" applyProtection="1">
      <alignment vertical="center"/>
    </xf>
    <xf numFmtId="0" fontId="24" fillId="0" borderId="0" xfId="5" applyFont="1" applyBorder="1" applyAlignment="1" applyProtection="1">
      <alignment horizontal="center" vertical="center"/>
    </xf>
    <xf numFmtId="0" fontId="24" fillId="0" borderId="0" xfId="5" applyFont="1" applyBorder="1" applyAlignment="1" applyProtection="1">
      <alignment vertical="center"/>
    </xf>
    <xf numFmtId="4" fontId="24" fillId="0" borderId="0" xfId="5" applyNumberFormat="1" applyFont="1" applyBorder="1" applyAlignment="1" applyProtection="1">
      <alignment horizontal="center" vertical="center"/>
    </xf>
    <xf numFmtId="167" fontId="24" fillId="0" borderId="0" xfId="5" applyNumberFormat="1" applyFont="1" applyBorder="1" applyAlignment="1" applyProtection="1">
      <alignment horizontal="center" vertical="center"/>
    </xf>
    <xf numFmtId="167" fontId="24" fillId="0" borderId="0" xfId="5" applyNumberFormat="1" applyFont="1" applyBorder="1" applyAlignment="1" applyProtection="1"/>
    <xf numFmtId="0" fontId="24" fillId="0" borderId="20" xfId="5" applyFont="1" applyBorder="1" applyAlignment="1" applyProtection="1">
      <alignment horizontal="center" vertical="center"/>
    </xf>
    <xf numFmtId="0" fontId="24" fillId="0" borderId="28" xfId="5" applyFont="1" applyBorder="1" applyAlignment="1" applyProtection="1">
      <alignment horizontal="center" vertical="center"/>
    </xf>
    <xf numFmtId="0" fontId="24" fillId="0" borderId="28" xfId="5" applyFont="1" applyBorder="1" applyAlignment="1" applyProtection="1">
      <alignment vertical="center"/>
    </xf>
    <xf numFmtId="4" fontId="24" fillId="0" borderId="28" xfId="5" applyNumberFormat="1" applyFont="1" applyBorder="1" applyAlignment="1" applyProtection="1">
      <alignment horizontal="center" vertical="center"/>
    </xf>
    <xf numFmtId="167" fontId="24" fillId="0" borderId="28" xfId="5" applyNumberFormat="1" applyFont="1" applyBorder="1" applyAlignment="1" applyProtection="1">
      <alignment horizontal="center" vertical="center"/>
    </xf>
    <xf numFmtId="167" fontId="24" fillId="0" borderId="21" xfId="5" applyNumberFormat="1" applyFont="1" applyBorder="1" applyAlignment="1" applyProtection="1"/>
    <xf numFmtId="0" fontId="24" fillId="0" borderId="46" xfId="5" applyFont="1" applyBorder="1" applyAlignment="1" applyProtection="1">
      <alignment horizontal="center" vertical="center"/>
    </xf>
    <xf numFmtId="167" fontId="24" fillId="0" borderId="47" xfId="5" applyNumberFormat="1" applyFont="1" applyBorder="1" applyAlignment="1" applyProtection="1"/>
    <xf numFmtId="0" fontId="24" fillId="0" borderId="0" xfId="5" applyFont="1" applyBorder="1" applyAlignment="1" applyProtection="1">
      <alignment vertical="center" wrapText="1"/>
    </xf>
    <xf numFmtId="0" fontId="26" fillId="0" borderId="0" xfId="5" applyFont="1" applyBorder="1" applyAlignment="1" applyProtection="1">
      <alignment horizontal="center"/>
    </xf>
    <xf numFmtId="0" fontId="26" fillId="0" borderId="22" xfId="5" applyFont="1" applyBorder="1" applyAlignment="1" applyProtection="1">
      <alignment horizontal="center"/>
    </xf>
    <xf numFmtId="0" fontId="26" fillId="0" borderId="25" xfId="5" applyFont="1" applyBorder="1" applyAlignment="1" applyProtection="1">
      <alignment horizontal="center"/>
    </xf>
    <xf numFmtId="0" fontId="26" fillId="0" borderId="23" xfId="5" applyFont="1" applyBorder="1" applyAlignment="1" applyProtection="1">
      <alignment horizontal="center"/>
    </xf>
    <xf numFmtId="0" fontId="26" fillId="0" borderId="3" xfId="5" applyFont="1" applyBorder="1" applyAlignment="1" applyProtection="1">
      <alignment horizontal="right" vertical="center"/>
    </xf>
    <xf numFmtId="0" fontId="26" fillId="0" borderId="3" xfId="5" applyFont="1" applyBorder="1" applyAlignment="1" applyProtection="1">
      <alignment horizontal="center" vertical="center"/>
    </xf>
    <xf numFmtId="14" fontId="26" fillId="0" borderId="3" xfId="5" applyNumberFormat="1" applyFont="1" applyBorder="1" applyAlignment="1" applyProtection="1">
      <alignment horizontal="center" vertical="center"/>
    </xf>
    <xf numFmtId="0" fontId="26" fillId="0" borderId="3" xfId="5" applyFont="1" applyBorder="1" applyAlignment="1" applyProtection="1">
      <alignment horizontal="right" vertical="center" wrapText="1"/>
    </xf>
    <xf numFmtId="10" fontId="26" fillId="0" borderId="3" xfId="2" applyNumberFormat="1" applyFont="1" applyBorder="1" applyAlignment="1" applyProtection="1">
      <alignment horizontal="center" vertical="center"/>
    </xf>
    <xf numFmtId="49" fontId="27" fillId="29" borderId="48" xfId="5" applyNumberFormat="1" applyFont="1" applyFill="1" applyBorder="1" applyAlignment="1" applyProtection="1">
      <alignment horizontal="center" vertical="center" wrapText="1"/>
    </xf>
    <xf numFmtId="49" fontId="27" fillId="29" borderId="49" xfId="5" applyNumberFormat="1" applyFont="1" applyFill="1" applyBorder="1" applyAlignment="1" applyProtection="1">
      <alignment horizontal="center" vertical="center" wrapText="1"/>
    </xf>
    <xf numFmtId="49" fontId="27" fillId="29" borderId="49" xfId="5" applyNumberFormat="1" applyFont="1" applyFill="1" applyBorder="1" applyAlignment="1" applyProtection="1">
      <alignment horizontal="center" vertical="center"/>
    </xf>
    <xf numFmtId="4" fontId="27" fillId="29" borderId="49" xfId="5" applyNumberFormat="1" applyFont="1" applyFill="1" applyBorder="1" applyAlignment="1" applyProtection="1">
      <alignment horizontal="center" vertical="center"/>
    </xf>
    <xf numFmtId="167" fontId="27" fillId="29" borderId="49" xfId="5" applyNumberFormat="1" applyFont="1" applyFill="1" applyBorder="1" applyAlignment="1" applyProtection="1">
      <alignment horizontal="center" vertical="center" wrapText="1"/>
    </xf>
    <xf numFmtId="167" fontId="27" fillId="29" borderId="50" xfId="5" applyNumberFormat="1" applyFont="1" applyFill="1" applyBorder="1" applyAlignment="1" applyProtection="1">
      <alignment horizontal="center" vertical="center" wrapText="1"/>
    </xf>
    <xf numFmtId="0" fontId="24" fillId="0" borderId="0" xfId="5" applyFont="1" applyBorder="1" applyAlignment="1" applyProtection="1">
      <alignment horizontal="left" vertical="center"/>
    </xf>
    <xf numFmtId="167" fontId="24" fillId="0" borderId="0" xfId="5" applyNumberFormat="1" applyFont="1" applyBorder="1" applyAlignment="1" applyProtection="1">
      <alignment vertical="center"/>
    </xf>
    <xf numFmtId="0" fontId="27" fillId="27" borderId="3" xfId="5" applyFont="1" applyFill="1" applyBorder="1" applyAlignment="1" applyProtection="1">
      <alignment horizontal="center" vertical="center"/>
    </xf>
    <xf numFmtId="4" fontId="27" fillId="27" borderId="3" xfId="5" applyNumberFormat="1" applyFont="1" applyFill="1" applyBorder="1" applyAlignment="1" applyProtection="1">
      <alignment horizontal="center" vertical="center"/>
    </xf>
    <xf numFmtId="167" fontId="27" fillId="27" borderId="3" xfId="5" applyNumberFormat="1" applyFont="1" applyFill="1" applyBorder="1" applyAlignment="1" applyProtection="1">
      <alignment horizontal="center" vertical="center"/>
    </xf>
    <xf numFmtId="167" fontId="27" fillId="27" borderId="3" xfId="5" applyNumberFormat="1" applyFont="1" applyFill="1" applyBorder="1" applyAlignment="1" applyProtection="1">
      <alignment vertical="center"/>
    </xf>
    <xf numFmtId="0" fontId="25" fillId="0" borderId="3" xfId="5" applyFont="1" applyBorder="1" applyAlignment="1" applyProtection="1">
      <alignment horizontal="center" vertical="center" wrapText="1"/>
    </xf>
    <xf numFmtId="0" fontId="25" fillId="0" borderId="3" xfId="5" applyFont="1" applyBorder="1" applyAlignment="1" applyProtection="1">
      <alignment vertical="center" wrapText="1"/>
    </xf>
    <xf numFmtId="4" fontId="24" fillId="0" borderId="3" xfId="5" applyNumberFormat="1" applyFont="1" applyBorder="1" applyAlignment="1" applyProtection="1">
      <alignment horizontal="center" vertical="center"/>
    </xf>
    <xf numFmtId="167" fontId="25" fillId="0" borderId="3" xfId="0" applyNumberFormat="1" applyFont="1" applyBorder="1" applyAlignment="1">
      <alignment horizontal="center" vertical="center" wrapText="1"/>
    </xf>
    <xf numFmtId="167" fontId="24" fillId="0" borderId="3" xfId="5" applyNumberFormat="1" applyFont="1" applyBorder="1" applyAlignment="1" applyProtection="1">
      <alignment vertical="center"/>
    </xf>
    <xf numFmtId="4" fontId="24" fillId="27" borderId="3" xfId="5" applyNumberFormat="1" applyFont="1" applyFill="1" applyBorder="1" applyAlignment="1" applyProtection="1">
      <alignment horizontal="center" vertical="center"/>
    </xf>
    <xf numFmtId="0" fontId="24" fillId="0" borderId="0" xfId="5" applyFont="1" applyFill="1" applyBorder="1" applyAlignment="1" applyProtection="1">
      <alignment horizontal="center" vertical="center"/>
    </xf>
    <xf numFmtId="0" fontId="25" fillId="0" borderId="3" xfId="5" applyFont="1" applyFill="1" applyBorder="1" applyAlignment="1" applyProtection="1">
      <alignment horizontal="center" vertical="center" wrapText="1"/>
    </xf>
    <xf numFmtId="4" fontId="24" fillId="0" borderId="3" xfId="5" applyNumberFormat="1" applyFont="1" applyFill="1" applyBorder="1" applyAlignment="1" applyProtection="1">
      <alignment horizontal="center" vertical="center"/>
    </xf>
    <xf numFmtId="167" fontId="24" fillId="0" borderId="3" xfId="5" applyNumberFormat="1" applyFont="1" applyFill="1" applyBorder="1" applyAlignment="1" applyProtection="1">
      <alignment horizontal="center" vertical="center"/>
    </xf>
    <xf numFmtId="167" fontId="24" fillId="0" borderId="3" xfId="5" applyNumberFormat="1" applyFont="1" applyFill="1" applyBorder="1" applyAlignment="1" applyProtection="1">
      <alignment vertical="center"/>
    </xf>
    <xf numFmtId="167" fontId="24" fillId="0" borderId="3" xfId="5" applyNumberFormat="1" applyFont="1" applyBorder="1" applyAlignment="1" applyProtection="1">
      <alignment horizontal="center" vertical="center"/>
    </xf>
    <xf numFmtId="0" fontId="24" fillId="0" borderId="3" xfId="5" applyFont="1" applyBorder="1" applyAlignment="1" applyProtection="1">
      <alignment horizontal="center" vertical="center" wrapText="1"/>
    </xf>
    <xf numFmtId="0" fontId="25" fillId="0" borderId="17" xfId="5" applyFont="1" applyBorder="1" applyAlignment="1" applyProtection="1">
      <alignment horizontal="left" vertical="center" wrapText="1"/>
    </xf>
    <xf numFmtId="181" fontId="24" fillId="0" borderId="3" xfId="5" applyNumberFormat="1" applyFont="1" applyBorder="1" applyAlignment="1" applyProtection="1">
      <alignment horizontal="center" vertical="center"/>
    </xf>
    <xf numFmtId="0" fontId="25" fillId="0" borderId="18" xfId="5" applyFont="1" applyBorder="1" applyAlignment="1" applyProtection="1">
      <alignment horizontal="center" vertical="center" wrapText="1"/>
    </xf>
    <xf numFmtId="0" fontId="24" fillId="0" borderId="3" xfId="0" applyFont="1" applyBorder="1" applyAlignment="1">
      <alignment horizontal="center" vertical="center" wrapText="1"/>
    </xf>
    <xf numFmtId="0" fontId="24" fillId="0" borderId="3" xfId="0" applyFont="1" applyBorder="1" applyAlignment="1">
      <alignment horizontal="justify" vertical="center" wrapText="1"/>
    </xf>
    <xf numFmtId="4" fontId="24" fillId="0" borderId="3" xfId="0" applyNumberFormat="1" applyFont="1" applyBorder="1" applyAlignment="1">
      <alignment horizontal="center" vertical="center" wrapText="1"/>
    </xf>
    <xf numFmtId="0" fontId="25" fillId="0" borderId="17" xfId="5" applyFont="1" applyBorder="1" applyAlignment="1" applyProtection="1">
      <alignment horizontal="center" vertical="center" wrapText="1"/>
    </xf>
    <xf numFmtId="0" fontId="27" fillId="0" borderId="3" xfId="5" applyFont="1" applyBorder="1" applyAlignment="1" applyProtection="1">
      <alignment vertical="center" wrapText="1"/>
    </xf>
    <xf numFmtId="0" fontId="24" fillId="26" borderId="0" xfId="5" applyFont="1" applyFill="1" applyBorder="1" applyAlignment="1" applyProtection="1">
      <alignment horizontal="center" vertical="center"/>
    </xf>
    <xf numFmtId="0" fontId="27" fillId="26" borderId="3" xfId="5" applyFont="1" applyFill="1" applyBorder="1" applyAlignment="1" applyProtection="1">
      <alignment horizontal="center" vertical="center"/>
    </xf>
    <xf numFmtId="0" fontId="27" fillId="26" borderId="3" xfId="5" applyFont="1" applyFill="1" applyBorder="1" applyAlignment="1" applyProtection="1">
      <alignment vertical="center" wrapText="1"/>
    </xf>
    <xf numFmtId="4" fontId="24" fillId="26" borderId="3" xfId="5" applyNumberFormat="1" applyFont="1" applyFill="1" applyBorder="1" applyAlignment="1" applyProtection="1">
      <alignment horizontal="center" vertical="center"/>
    </xf>
    <xf numFmtId="181" fontId="24" fillId="26" borderId="3" xfId="5" applyNumberFormat="1" applyFont="1" applyFill="1" applyBorder="1" applyAlignment="1" applyProtection="1">
      <alignment horizontal="center" vertical="center"/>
    </xf>
    <xf numFmtId="167" fontId="24" fillId="26" borderId="3" xfId="5" applyNumberFormat="1" applyFont="1" applyFill="1" applyBorder="1" applyAlignment="1" applyProtection="1">
      <alignment vertical="center"/>
    </xf>
    <xf numFmtId="0" fontId="27" fillId="26" borderId="17" xfId="5" applyFont="1" applyFill="1" applyBorder="1" applyAlignment="1" applyProtection="1">
      <alignment horizontal="center" vertical="center" wrapText="1"/>
    </xf>
    <xf numFmtId="0" fontId="24" fillId="26" borderId="3" xfId="5" applyFont="1" applyFill="1" applyBorder="1" applyAlignment="1" applyProtection="1">
      <alignment horizontal="center" vertical="center" wrapText="1"/>
    </xf>
    <xf numFmtId="167" fontId="24" fillId="26" borderId="3" xfId="5" applyNumberFormat="1" applyFont="1" applyFill="1" applyBorder="1" applyAlignment="1" applyProtection="1">
      <alignment horizontal="center" vertical="center"/>
    </xf>
    <xf numFmtId="181" fontId="53" fillId="0" borderId="0" xfId="5" applyNumberFormat="1" applyFont="1" applyBorder="1" applyAlignment="1" applyProtection="1">
      <alignment horizontal="center" vertical="center"/>
    </xf>
    <xf numFmtId="181" fontId="53" fillId="0" borderId="0" xfId="5" applyNumberFormat="1" applyFont="1" applyBorder="1" applyAlignment="1" applyProtection="1">
      <alignment horizontal="right" vertical="center"/>
    </xf>
    <xf numFmtId="0" fontId="53" fillId="0" borderId="0" xfId="5" applyFont="1" applyBorder="1" applyAlignment="1" applyProtection="1"/>
    <xf numFmtId="181" fontId="32" fillId="0" borderId="0" xfId="5" applyNumberFormat="1" applyFont="1" applyBorder="1" applyAlignment="1" applyProtection="1">
      <alignment horizontal="center" vertical="center"/>
    </xf>
    <xf numFmtId="181" fontId="32" fillId="0" borderId="0" xfId="5" applyNumberFormat="1" applyFont="1" applyBorder="1" applyAlignment="1" applyProtection="1">
      <alignment horizontal="right" vertical="center"/>
    </xf>
    <xf numFmtId="0" fontId="32" fillId="0" borderId="0" xfId="5" applyFont="1" applyBorder="1" applyAlignment="1" applyProtection="1"/>
    <xf numFmtId="181" fontId="51" fillId="0" borderId="0" xfId="5" applyNumberFormat="1" applyFont="1" applyFill="1" applyBorder="1" applyAlignment="1" applyProtection="1">
      <alignment horizontal="center" vertical="center"/>
    </xf>
    <xf numFmtId="181" fontId="51" fillId="0" borderId="0" xfId="5" applyNumberFormat="1" applyFont="1" applyFill="1" applyBorder="1" applyAlignment="1" applyProtection="1">
      <alignment horizontal="right" vertical="center"/>
    </xf>
    <xf numFmtId="181" fontId="51" fillId="26" borderId="0" xfId="5" applyNumberFormat="1" applyFont="1" applyFill="1" applyBorder="1" applyAlignment="1" applyProtection="1">
      <alignment horizontal="center" vertical="center"/>
    </xf>
    <xf numFmtId="181" fontId="51" fillId="26" borderId="0" xfId="5" applyNumberFormat="1" applyFont="1" applyFill="1" applyBorder="1" applyAlignment="1" applyProtection="1">
      <alignment horizontal="right" vertical="center"/>
    </xf>
    <xf numFmtId="0" fontId="24" fillId="0" borderId="17" xfId="5" applyFont="1" applyBorder="1" applyAlignment="1" applyProtection="1">
      <alignment horizontal="center" vertical="center" wrapText="1"/>
    </xf>
    <xf numFmtId="0" fontId="24" fillId="26" borderId="0" xfId="5" applyFont="1" applyFill="1" applyBorder="1" applyAlignment="1" applyProtection="1">
      <alignment vertical="center"/>
    </xf>
    <xf numFmtId="0" fontId="27" fillId="26" borderId="3" xfId="5" applyFont="1" applyFill="1" applyBorder="1" applyAlignment="1" applyProtection="1">
      <alignment horizontal="center" vertical="center" wrapText="1"/>
    </xf>
    <xf numFmtId="0" fontId="27" fillId="26" borderId="3" xfId="5" applyFont="1" applyFill="1" applyBorder="1" applyAlignment="1" applyProtection="1">
      <alignment horizontal="left" vertical="center" wrapText="1"/>
    </xf>
    <xf numFmtId="0" fontId="24" fillId="0" borderId="3" xfId="5" applyFont="1" applyFill="1" applyBorder="1" applyAlignment="1" applyProtection="1">
      <alignment horizontal="center" vertical="center" wrapText="1"/>
    </xf>
    <xf numFmtId="0" fontId="24" fillId="0" borderId="18" xfId="5" applyFont="1" applyBorder="1" applyAlignment="1" applyProtection="1">
      <alignment horizontal="center" vertical="center" wrapText="1"/>
    </xf>
    <xf numFmtId="181" fontId="24" fillId="0" borderId="3" xfId="5" applyNumberFormat="1" applyFont="1" applyFill="1" applyBorder="1" applyAlignment="1" applyProtection="1">
      <alignment horizontal="center" vertical="center"/>
    </xf>
    <xf numFmtId="0" fontId="25" fillId="26" borderId="0" xfId="5" applyFont="1" applyFill="1" applyBorder="1" applyAlignment="1" applyProtection="1">
      <alignment horizontal="center" vertical="center" wrapText="1"/>
    </xf>
    <xf numFmtId="0" fontId="25" fillId="26" borderId="3" xfId="5" applyFont="1" applyFill="1" applyBorder="1" applyAlignment="1" applyProtection="1">
      <alignment horizontal="center" vertical="center" wrapText="1"/>
    </xf>
    <xf numFmtId="4" fontId="25" fillId="26" borderId="3" xfId="5" applyNumberFormat="1" applyFont="1" applyFill="1" applyBorder="1" applyAlignment="1" applyProtection="1">
      <alignment horizontal="center" vertical="center" wrapText="1"/>
    </xf>
    <xf numFmtId="167" fontId="25" fillId="26" borderId="3" xfId="5" applyNumberFormat="1" applyFont="1" applyFill="1" applyBorder="1" applyAlignment="1" applyProtection="1">
      <alignment horizontal="center" vertical="center" wrapText="1"/>
    </xf>
    <xf numFmtId="4" fontId="25" fillId="0" borderId="3" xfId="5" applyNumberFormat="1" applyFont="1" applyBorder="1" applyAlignment="1" applyProtection="1">
      <alignment horizontal="center" vertical="center" wrapText="1"/>
    </xf>
    <xf numFmtId="4" fontId="25" fillId="0" borderId="3" xfId="5" applyNumberFormat="1" applyFont="1" applyFill="1" applyBorder="1" applyAlignment="1" applyProtection="1">
      <alignment horizontal="center" vertical="center" wrapText="1"/>
    </xf>
    <xf numFmtId="181" fontId="25" fillId="0" borderId="3" xfId="5" applyNumberFormat="1" applyFont="1" applyFill="1" applyBorder="1" applyAlignment="1" applyProtection="1">
      <alignment horizontal="center" vertical="center" wrapText="1"/>
    </xf>
    <xf numFmtId="181" fontId="25" fillId="26" borderId="3" xfId="5" applyNumberFormat="1" applyFont="1" applyFill="1" applyBorder="1" applyAlignment="1" applyProtection="1">
      <alignment horizontal="center" vertical="center" wrapText="1"/>
    </xf>
    <xf numFmtId="181" fontId="25" fillId="0" borderId="3" xfId="5" applyNumberFormat="1" applyFont="1" applyBorder="1" applyAlignment="1" applyProtection="1">
      <alignment horizontal="center" vertical="center" wrapText="1"/>
    </xf>
    <xf numFmtId="0" fontId="24" fillId="0" borderId="17" xfId="5" applyFont="1" applyBorder="1" applyAlignment="1" applyProtection="1">
      <alignment horizontal="center" vertical="center"/>
    </xf>
    <xf numFmtId="4" fontId="25" fillId="0" borderId="17" xfId="5" applyNumberFormat="1" applyFont="1" applyBorder="1" applyAlignment="1" applyProtection="1">
      <alignment horizontal="center" vertical="center" wrapText="1"/>
    </xf>
    <xf numFmtId="165" fontId="27" fillId="29" borderId="3" xfId="5" applyNumberFormat="1" applyFont="1" applyFill="1" applyBorder="1" applyAlignment="1" applyProtection="1">
      <alignment horizontal="center" vertical="center"/>
    </xf>
    <xf numFmtId="4" fontId="27" fillId="29" borderId="3" xfId="5" applyNumberFormat="1" applyFont="1" applyFill="1" applyBorder="1" applyAlignment="1" applyProtection="1">
      <alignment horizontal="center" vertical="center"/>
    </xf>
    <xf numFmtId="0" fontId="24" fillId="31" borderId="0" xfId="5" applyFont="1" applyFill="1" applyBorder="1" applyAlignment="1" applyProtection="1">
      <alignment horizontal="center" vertical="center"/>
    </xf>
    <xf numFmtId="0" fontId="27" fillId="31" borderId="3" xfId="5" applyFont="1" applyFill="1" applyBorder="1" applyAlignment="1" applyProtection="1">
      <alignment horizontal="center" vertical="center" wrapText="1"/>
    </xf>
    <xf numFmtId="0" fontId="24" fillId="31" borderId="3" xfId="5" applyFont="1" applyFill="1" applyBorder="1" applyAlignment="1" applyProtection="1">
      <alignment horizontal="center" vertical="center" wrapText="1"/>
    </xf>
    <xf numFmtId="0" fontId="27" fillId="42" borderId="3" xfId="5" applyFont="1" applyFill="1" applyBorder="1" applyAlignment="1" applyProtection="1">
      <alignment vertical="center"/>
    </xf>
    <xf numFmtId="4" fontId="24" fillId="31" borderId="3" xfId="5" applyNumberFormat="1" applyFont="1" applyFill="1" applyBorder="1" applyAlignment="1" applyProtection="1">
      <alignment horizontal="center" vertical="center"/>
    </xf>
    <xf numFmtId="167" fontId="24" fillId="31" borderId="3" xfId="5" applyNumberFormat="1" applyFont="1" applyFill="1" applyBorder="1" applyAlignment="1" applyProtection="1">
      <alignment horizontal="center" vertical="center"/>
    </xf>
    <xf numFmtId="167" fontId="24" fillId="31" borderId="3" xfId="5" applyNumberFormat="1" applyFont="1" applyFill="1" applyBorder="1" applyAlignment="1" applyProtection="1">
      <alignment vertical="center"/>
    </xf>
    <xf numFmtId="181" fontId="51" fillId="31" borderId="0" xfId="5" applyNumberFormat="1" applyFont="1" applyFill="1" applyBorder="1" applyAlignment="1" applyProtection="1">
      <alignment horizontal="center" vertical="center"/>
    </xf>
    <xf numFmtId="181" fontId="51" fillId="31" borderId="0" xfId="5" applyNumberFormat="1" applyFont="1" applyFill="1" applyBorder="1" applyAlignment="1" applyProtection="1">
      <alignment horizontal="right" vertical="center"/>
    </xf>
    <xf numFmtId="0" fontId="50" fillId="31" borderId="0" xfId="5" applyFont="1" applyFill="1" applyBorder="1" applyAlignment="1" applyProtection="1">
      <alignment vertical="center"/>
    </xf>
    <xf numFmtId="0" fontId="25" fillId="31" borderId="3" xfId="5" applyFont="1" applyFill="1" applyBorder="1" applyAlignment="1" applyProtection="1">
      <alignment horizontal="center" vertical="center" wrapText="1"/>
    </xf>
    <xf numFmtId="181" fontId="24" fillId="31" borderId="3" xfId="5" applyNumberFormat="1" applyFont="1" applyFill="1" applyBorder="1" applyAlignment="1" applyProtection="1">
      <alignment horizontal="center" vertical="center"/>
    </xf>
    <xf numFmtId="0" fontId="24" fillId="24" borderId="0" xfId="5" applyFont="1" applyFill="1" applyBorder="1" applyAlignment="1" applyProtection="1">
      <alignment horizontal="center" vertical="center"/>
    </xf>
    <xf numFmtId="0" fontId="27" fillId="43" borderId="3" xfId="5" applyFont="1" applyFill="1" applyBorder="1" applyAlignment="1" applyProtection="1">
      <alignment horizontal="center" vertical="center"/>
    </xf>
    <xf numFmtId="165" fontId="27" fillId="43" borderId="3" xfId="5" applyNumberFormat="1" applyFont="1" applyFill="1" applyBorder="1" applyAlignment="1" applyProtection="1">
      <alignment horizontal="center" vertical="center"/>
    </xf>
    <xf numFmtId="4" fontId="27" fillId="43" borderId="3" xfId="5" applyNumberFormat="1" applyFont="1" applyFill="1" applyBorder="1" applyAlignment="1" applyProtection="1">
      <alignment horizontal="center" vertical="center"/>
    </xf>
    <xf numFmtId="167" fontId="27" fillId="43" borderId="3" xfId="5" applyNumberFormat="1" applyFont="1" applyFill="1" applyBorder="1" applyAlignment="1" applyProtection="1">
      <alignment horizontal="center" vertical="center"/>
    </xf>
    <xf numFmtId="167" fontId="27" fillId="43" borderId="3" xfId="5" applyNumberFormat="1" applyFont="1" applyFill="1" applyBorder="1" applyAlignment="1" applyProtection="1">
      <alignment vertical="center"/>
    </xf>
    <xf numFmtId="0" fontId="27" fillId="39" borderId="3" xfId="5" applyFont="1" applyFill="1" applyBorder="1" applyAlignment="1" applyProtection="1">
      <alignment horizontal="center" vertical="center"/>
    </xf>
    <xf numFmtId="0" fontId="25" fillId="24" borderId="3" xfId="5" applyFont="1" applyFill="1" applyBorder="1" applyAlignment="1" applyProtection="1">
      <alignment horizontal="center" vertical="center" wrapText="1"/>
    </xf>
    <xf numFmtId="4" fontId="24" fillId="24" borderId="3" xfId="5" applyNumberFormat="1" applyFont="1" applyFill="1" applyBorder="1" applyAlignment="1" applyProtection="1">
      <alignment horizontal="center" vertical="center"/>
    </xf>
    <xf numFmtId="181" fontId="24" fillId="24" borderId="3" xfId="5" applyNumberFormat="1" applyFont="1" applyFill="1" applyBorder="1" applyAlignment="1" applyProtection="1">
      <alignment horizontal="center" vertical="center"/>
    </xf>
    <xf numFmtId="167" fontId="24" fillId="24" borderId="3" xfId="5" applyNumberFormat="1" applyFont="1" applyFill="1" applyBorder="1" applyAlignment="1" applyProtection="1">
      <alignment vertical="center"/>
    </xf>
    <xf numFmtId="0" fontId="25" fillId="0" borderId="18" xfId="0" applyFont="1" applyBorder="1" applyAlignment="1">
      <alignment horizontal="center" vertical="center"/>
    </xf>
    <xf numFmtId="0" fontId="25" fillId="0" borderId="27" xfId="1" applyFont="1" applyBorder="1" applyAlignment="1">
      <alignment horizontal="center" vertical="center" wrapText="1"/>
    </xf>
    <xf numFmtId="178" fontId="25" fillId="0" borderId="3" xfId="1" applyNumberFormat="1" applyFont="1" applyBorder="1" applyAlignment="1">
      <alignment horizontal="center" vertical="center" wrapText="1"/>
    </xf>
    <xf numFmtId="178" fontId="24" fillId="24" borderId="3" xfId="5" applyNumberFormat="1" applyFont="1" applyFill="1" applyBorder="1" applyAlignment="1" applyProtection="1">
      <alignment horizontal="center" vertical="center"/>
    </xf>
    <xf numFmtId="0" fontId="27" fillId="40" borderId="3" xfId="5" applyFont="1" applyFill="1" applyBorder="1" applyAlignment="1" applyProtection="1">
      <alignment horizontal="center" vertical="center"/>
    </xf>
    <xf numFmtId="178" fontId="24" fillId="26" borderId="3" xfId="5" applyNumberFormat="1" applyFont="1" applyFill="1" applyBorder="1" applyAlignment="1" applyProtection="1">
      <alignment horizontal="center" vertical="center"/>
    </xf>
    <xf numFmtId="0" fontId="25" fillId="0" borderId="18" xfId="0" applyFont="1" applyFill="1" applyBorder="1" applyAlignment="1">
      <alignment horizontal="center" vertical="center"/>
    </xf>
    <xf numFmtId="0" fontId="25" fillId="0" borderId="27" xfId="1" applyFont="1" applyFill="1" applyBorder="1" applyAlignment="1">
      <alignment horizontal="center" vertical="center" wrapText="1"/>
    </xf>
    <xf numFmtId="178" fontId="25" fillId="0" borderId="3" xfId="1" applyNumberFormat="1" applyFont="1" applyFill="1" applyBorder="1" applyAlignment="1">
      <alignment horizontal="center" vertical="center" wrapText="1"/>
    </xf>
    <xf numFmtId="178" fontId="27" fillId="27" borderId="3" xfId="5" applyNumberFormat="1" applyFont="1" applyFill="1" applyBorder="1" applyAlignment="1" applyProtection="1">
      <alignment horizontal="center" vertical="center"/>
    </xf>
    <xf numFmtId="0" fontId="54" fillId="24" borderId="3" xfId="0" applyFont="1" applyFill="1" applyBorder="1" applyAlignment="1">
      <alignment horizontal="center" vertical="center"/>
    </xf>
    <xf numFmtId="178" fontId="25" fillId="24" borderId="3" xfId="1" applyNumberFormat="1" applyFont="1" applyFill="1" applyBorder="1" applyAlignment="1">
      <alignment horizontal="center" vertical="center" wrapText="1"/>
    </xf>
    <xf numFmtId="0" fontId="55" fillId="0" borderId="3" xfId="0" applyFont="1" applyBorder="1" applyAlignment="1">
      <alignment horizontal="center" vertical="center"/>
    </xf>
    <xf numFmtId="0" fontId="54" fillId="26" borderId="3" xfId="0" applyFont="1" applyFill="1" applyBorder="1" applyAlignment="1">
      <alignment horizontal="center" vertical="center"/>
    </xf>
    <xf numFmtId="178" fontId="25" fillId="26" borderId="3" xfId="1" applyNumberFormat="1" applyFont="1" applyFill="1" applyBorder="1" applyAlignment="1">
      <alignment horizontal="center" vertical="center" wrapText="1"/>
    </xf>
    <xf numFmtId="0" fontId="55" fillId="0" borderId="16" xfId="0" applyFont="1" applyBorder="1" applyAlignment="1">
      <alignment horizontal="center" vertical="center"/>
    </xf>
    <xf numFmtId="181" fontId="51" fillId="24" borderId="0" xfId="5" applyNumberFormat="1" applyFont="1" applyFill="1" applyBorder="1" applyAlignment="1" applyProtection="1">
      <alignment horizontal="center" vertical="center"/>
    </xf>
    <xf numFmtId="181" fontId="51" fillId="24" borderId="0" xfId="5" applyNumberFormat="1" applyFont="1" applyFill="1" applyBorder="1" applyAlignment="1" applyProtection="1">
      <alignment horizontal="right" vertical="center"/>
    </xf>
    <xf numFmtId="0" fontId="50" fillId="24" borderId="0" xfId="5" applyFont="1" applyFill="1" applyBorder="1" applyAlignment="1" applyProtection="1">
      <alignment vertical="center"/>
    </xf>
    <xf numFmtId="167" fontId="34" fillId="0" borderId="0" xfId="3" applyFont="1" applyBorder="1" applyAlignment="1" applyProtection="1">
      <alignment horizontal="center" vertical="center" wrapText="1"/>
    </xf>
    <xf numFmtId="167" fontId="34" fillId="0" borderId="0" xfId="3" applyFont="1" applyFill="1" applyBorder="1" applyAlignment="1" applyProtection="1">
      <alignment horizontal="center" vertical="center" wrapText="1"/>
    </xf>
    <xf numFmtId="167" fontId="34" fillId="24" borderId="0" xfId="3" applyFont="1" applyFill="1" applyBorder="1" applyAlignment="1" applyProtection="1">
      <alignment horizontal="center" vertical="center" wrapText="1"/>
    </xf>
    <xf numFmtId="167" fontId="34" fillId="26" borderId="0" xfId="3" applyFont="1" applyFill="1" applyBorder="1" applyAlignment="1" applyProtection="1">
      <alignment horizontal="center" vertical="center" wrapText="1"/>
    </xf>
    <xf numFmtId="178" fontId="24" fillId="0" borderId="3" xfId="1" applyNumberFormat="1" applyFont="1" applyBorder="1" applyAlignment="1">
      <alignment horizontal="center" vertical="center" wrapText="1"/>
    </xf>
    <xf numFmtId="0" fontId="55" fillId="0" borderId="3" xfId="0" applyFont="1" applyFill="1" applyBorder="1" applyAlignment="1">
      <alignment horizontal="center" vertical="center"/>
    </xf>
    <xf numFmtId="178" fontId="24" fillId="0" borderId="3" xfId="5" applyNumberFormat="1" applyFont="1" applyBorder="1" applyAlignment="1" applyProtection="1">
      <alignment horizontal="center" vertical="center"/>
    </xf>
    <xf numFmtId="0" fontId="27" fillId="29" borderId="3" xfId="5" applyFont="1" applyFill="1" applyBorder="1" applyAlignment="1" applyProtection="1">
      <alignment horizontal="center" vertical="center"/>
    </xf>
    <xf numFmtId="178" fontId="24" fillId="29" borderId="3" xfId="5" applyNumberFormat="1" applyFont="1" applyFill="1" applyBorder="1" applyAlignment="1" applyProtection="1">
      <alignment horizontal="center" vertical="center"/>
    </xf>
    <xf numFmtId="167" fontId="24" fillId="29" borderId="3" xfId="5" applyNumberFormat="1" applyFont="1" applyFill="1" applyBorder="1" applyAlignment="1" applyProtection="1">
      <alignment horizontal="center" vertical="center"/>
    </xf>
    <xf numFmtId="167" fontId="24" fillId="29" borderId="3" xfId="5" applyNumberFormat="1" applyFont="1" applyFill="1" applyBorder="1" applyAlignment="1" applyProtection="1">
      <alignment vertical="center"/>
    </xf>
    <xf numFmtId="178" fontId="24" fillId="0" borderId="3" xfId="5" applyNumberFormat="1" applyFont="1" applyFill="1" applyBorder="1" applyAlignment="1" applyProtection="1">
      <alignment horizontal="center" vertical="center"/>
    </xf>
    <xf numFmtId="167" fontId="51" fillId="0" borderId="0" xfId="3" applyFont="1" applyBorder="1" applyAlignment="1" applyProtection="1">
      <alignment horizontal="center" vertical="center" wrapText="1"/>
    </xf>
    <xf numFmtId="167" fontId="51" fillId="0" borderId="0" xfId="3" applyFont="1" applyFill="1" applyBorder="1" applyAlignment="1" applyProtection="1">
      <alignment horizontal="center" vertical="center" wrapText="1"/>
    </xf>
    <xf numFmtId="0" fontId="25" fillId="0" borderId="26" xfId="1" applyFont="1" applyBorder="1" applyAlignment="1">
      <alignment horizontal="center" vertical="center" wrapText="1"/>
    </xf>
    <xf numFmtId="178" fontId="25" fillId="0" borderId="17" xfId="1" applyNumberFormat="1" applyFont="1" applyBorder="1" applyAlignment="1">
      <alignment horizontal="center" vertical="center" wrapText="1"/>
    </xf>
    <xf numFmtId="0" fontId="27" fillId="41" borderId="3" xfId="5" applyFont="1" applyFill="1" applyBorder="1" applyAlignment="1" applyProtection="1">
      <alignment horizontal="center" vertical="center" wrapText="1"/>
    </xf>
    <xf numFmtId="178" fontId="24" fillId="31" borderId="3" xfId="5" applyNumberFormat="1" applyFont="1" applyFill="1" applyBorder="1" applyAlignment="1" applyProtection="1">
      <alignment horizontal="center" vertical="center"/>
    </xf>
    <xf numFmtId="0" fontId="26" fillId="31" borderId="18" xfId="0" applyFont="1" applyFill="1" applyBorder="1" applyAlignment="1">
      <alignment horizontal="center" vertical="center"/>
    </xf>
    <xf numFmtId="0" fontId="25" fillId="31" borderId="27" xfId="1" applyFont="1" applyFill="1" applyBorder="1" applyAlignment="1">
      <alignment horizontal="center" vertical="center" wrapText="1"/>
    </xf>
    <xf numFmtId="178" fontId="25" fillId="31" borderId="3" xfId="1" applyNumberFormat="1" applyFont="1" applyFill="1" applyBorder="1" applyAlignment="1">
      <alignment horizontal="center" vertical="center" wrapText="1"/>
    </xf>
    <xf numFmtId="178" fontId="26" fillId="31" borderId="3" xfId="0" applyNumberFormat="1" applyFont="1" applyFill="1" applyBorder="1" applyAlignment="1">
      <alignment horizontal="right" vertical="center"/>
    </xf>
    <xf numFmtId="167" fontId="27" fillId="31" borderId="3" xfId="5" applyNumberFormat="1" applyFont="1" applyFill="1" applyBorder="1" applyAlignment="1" applyProtection="1">
      <alignment vertical="center"/>
    </xf>
    <xf numFmtId="0" fontId="26" fillId="31" borderId="3" xfId="0" applyFont="1" applyFill="1" applyBorder="1" applyAlignment="1">
      <alignment horizontal="center" vertical="center"/>
    </xf>
    <xf numFmtId="0" fontId="25" fillId="0" borderId="3" xfId="0" applyFont="1" applyFill="1" applyBorder="1" applyAlignment="1">
      <alignment horizontal="center" vertical="center"/>
    </xf>
    <xf numFmtId="0" fontId="25" fillId="0" borderId="3" xfId="0" applyFont="1" applyBorder="1" applyAlignment="1">
      <alignment horizontal="center" vertical="center"/>
    </xf>
    <xf numFmtId="167" fontId="34" fillId="31" borderId="0" xfId="3" applyFont="1" applyFill="1" applyBorder="1" applyAlignment="1" applyProtection="1">
      <alignment horizontal="center" vertical="center" wrapText="1"/>
    </xf>
    <xf numFmtId="0" fontId="24" fillId="0" borderId="27" xfId="1" applyFont="1" applyFill="1" applyBorder="1" applyAlignment="1">
      <alignment horizontal="center" vertical="center" wrapText="1"/>
    </xf>
    <xf numFmtId="178" fontId="24" fillId="29" borderId="3" xfId="5" applyNumberFormat="1" applyFont="1" applyFill="1" applyBorder="1" applyAlignment="1" applyProtection="1">
      <alignment horizontal="center" vertical="center" wrapText="1"/>
    </xf>
    <xf numFmtId="167" fontId="24" fillId="29" borderId="3" xfId="5" applyNumberFormat="1" applyFont="1" applyFill="1" applyBorder="1" applyAlignment="1" applyProtection="1">
      <alignment horizontal="center" vertical="center" wrapText="1"/>
    </xf>
    <xf numFmtId="167" fontId="24" fillId="29" borderId="3" xfId="5" applyNumberFormat="1" applyFont="1" applyFill="1" applyBorder="1" applyAlignment="1" applyProtection="1">
      <alignment vertical="center" wrapText="1"/>
    </xf>
    <xf numFmtId="181" fontId="24" fillId="0" borderId="27" xfId="5" applyNumberFormat="1" applyFont="1" applyBorder="1" applyAlignment="1" applyProtection="1">
      <alignment horizontal="center" vertical="center"/>
    </xf>
    <xf numFmtId="167" fontId="24" fillId="0" borderId="27" xfId="5" applyNumberFormat="1" applyFont="1" applyBorder="1" applyAlignment="1" applyProtection="1">
      <alignment vertical="center"/>
    </xf>
    <xf numFmtId="0" fontId="26" fillId="26" borderId="3" xfId="1" applyFont="1" applyFill="1" applyBorder="1" applyAlignment="1">
      <alignment horizontal="center" vertical="center" wrapText="1"/>
    </xf>
    <xf numFmtId="178" fontId="26" fillId="26" borderId="3" xfId="1" applyNumberFormat="1" applyFont="1" applyFill="1" applyBorder="1" applyAlignment="1">
      <alignment vertical="center" wrapText="1"/>
    </xf>
    <xf numFmtId="0" fontId="24" fillId="3" borderId="3" xfId="5" applyFont="1" applyFill="1" applyBorder="1" applyAlignment="1" applyProtection="1">
      <alignment horizontal="center" vertical="center"/>
    </xf>
    <xf numFmtId="0" fontId="26" fillId="26" borderId="3" xfId="0" applyFont="1" applyFill="1" applyBorder="1" applyAlignment="1">
      <alignment horizontal="center" vertical="center"/>
    </xf>
    <xf numFmtId="178" fontId="25" fillId="0" borderId="16" xfId="1" applyNumberFormat="1" applyFont="1" applyBorder="1" applyAlignment="1">
      <alignment horizontal="center" vertical="center" wrapText="1"/>
    </xf>
    <xf numFmtId="0" fontId="27" fillId="32" borderId="3" xfId="5" applyFont="1" applyFill="1" applyBorder="1" applyAlignment="1" applyProtection="1">
      <alignment horizontal="center" vertical="center"/>
    </xf>
    <xf numFmtId="178" fontId="27" fillId="32" borderId="3" xfId="5" applyNumberFormat="1" applyFont="1" applyFill="1" applyBorder="1" applyAlignment="1" applyProtection="1">
      <alignment horizontal="center" vertical="center"/>
    </xf>
    <xf numFmtId="167" fontId="27" fillId="32" borderId="3" xfId="5" applyNumberFormat="1" applyFont="1" applyFill="1" applyBorder="1" applyAlignment="1" applyProtection="1">
      <alignment horizontal="center" vertical="center"/>
    </xf>
    <xf numFmtId="167" fontId="27" fillId="32" borderId="3" xfId="5" applyNumberFormat="1" applyFont="1" applyFill="1" applyBorder="1" applyAlignment="1" applyProtection="1">
      <alignment vertical="center"/>
    </xf>
    <xf numFmtId="0" fontId="24" fillId="14" borderId="0" xfId="5" applyFont="1" applyFill="1" applyBorder="1" applyAlignment="1" applyProtection="1">
      <alignment horizontal="center" vertical="center"/>
    </xf>
    <xf numFmtId="0" fontId="25" fillId="0" borderId="28" xfId="5" applyFont="1" applyBorder="1" applyAlignment="1" applyProtection="1">
      <alignment horizontal="left" vertical="center" wrapText="1"/>
    </xf>
    <xf numFmtId="167" fontId="24" fillId="0" borderId="3" xfId="5" applyNumberFormat="1" applyFont="1" applyBorder="1" applyAlignment="1" applyProtection="1">
      <alignment horizontal="center" vertical="center" wrapText="1"/>
    </xf>
    <xf numFmtId="49" fontId="27" fillId="27" borderId="18" xfId="5" applyNumberFormat="1" applyFont="1" applyFill="1" applyBorder="1" applyAlignment="1" applyProtection="1">
      <alignment horizontal="center" vertical="center"/>
    </xf>
    <xf numFmtId="49" fontId="27" fillId="27" borderId="19" xfId="5" applyNumberFormat="1" applyFont="1" applyFill="1" applyBorder="1" applyAlignment="1" applyProtection="1">
      <alignment horizontal="center" vertical="center"/>
    </xf>
    <xf numFmtId="49" fontId="27" fillId="27" borderId="19" xfId="5" applyNumberFormat="1" applyFont="1" applyFill="1" applyBorder="1" applyAlignment="1" applyProtection="1">
      <alignment vertical="center"/>
    </xf>
    <xf numFmtId="167" fontId="27" fillId="27" borderId="19" xfId="5" applyNumberFormat="1" applyFont="1" applyFill="1" applyBorder="1" applyAlignment="1" applyProtection="1">
      <alignment vertical="center"/>
    </xf>
    <xf numFmtId="167" fontId="27" fillId="27" borderId="16" xfId="5" applyNumberFormat="1" applyFont="1" applyFill="1" applyBorder="1" applyAlignment="1" applyProtection="1">
      <alignment vertical="center"/>
    </xf>
    <xf numFmtId="167" fontId="46" fillId="27" borderId="3" xfId="5" applyNumberFormat="1" applyFont="1" applyFill="1" applyBorder="1" applyAlignment="1" applyProtection="1">
      <alignment vertical="center"/>
    </xf>
    <xf numFmtId="181" fontId="51" fillId="14" borderId="0" xfId="5" applyNumberFormat="1" applyFont="1" applyFill="1" applyBorder="1" applyAlignment="1" applyProtection="1">
      <alignment horizontal="right" vertical="center"/>
    </xf>
    <xf numFmtId="0" fontId="50" fillId="14" borderId="0" xfId="5" applyFont="1" applyFill="1" applyBorder="1" applyAlignment="1" applyProtection="1">
      <alignment vertical="center"/>
    </xf>
    <xf numFmtId="181" fontId="51" fillId="14" borderId="0" xfId="5" applyNumberFormat="1" applyFont="1" applyFill="1" applyBorder="1" applyAlignment="1" applyProtection="1">
      <alignment horizontal="center" vertical="center"/>
    </xf>
    <xf numFmtId="181" fontId="51" fillId="0" borderId="3" xfId="5" applyNumberFormat="1" applyFont="1" applyBorder="1" applyAlignment="1" applyProtection="1">
      <alignment horizontal="center" vertical="center"/>
    </xf>
    <xf numFmtId="181" fontId="51" fillId="0" borderId="3" xfId="5" applyNumberFormat="1" applyFont="1" applyBorder="1" applyAlignment="1" applyProtection="1">
      <alignment horizontal="right" vertical="center"/>
    </xf>
    <xf numFmtId="0" fontId="51" fillId="0" borderId="0" xfId="5" applyFont="1" applyBorder="1" applyAlignment="1" applyProtection="1">
      <alignment horizontal="center" vertical="center"/>
    </xf>
    <xf numFmtId="181" fontId="50" fillId="0" borderId="0" xfId="5" applyNumberFormat="1" applyFont="1" applyBorder="1" applyAlignment="1" applyProtection="1">
      <alignment horizontal="center" vertical="center"/>
    </xf>
    <xf numFmtId="0" fontId="24" fillId="28" borderId="3" xfId="0" quotePrefix="1" applyFont="1" applyFill="1" applyBorder="1" applyAlignment="1">
      <alignment horizontal="left" vertical="center" wrapText="1"/>
    </xf>
    <xf numFmtId="0" fontId="29" fillId="0" borderId="0" xfId="6" quotePrefix="1" applyFont="1"/>
    <xf numFmtId="0" fontId="0" fillId="0" borderId="0" xfId="0" quotePrefix="1" applyAlignment="1">
      <alignment wrapText="1"/>
    </xf>
    <xf numFmtId="0" fontId="7" fillId="2" borderId="5" xfId="0" quotePrefix="1" applyFont="1" applyFill="1" applyBorder="1" applyAlignment="1">
      <alignment horizontal="center" vertical="center" wrapText="1"/>
    </xf>
    <xf numFmtId="2" fontId="9" fillId="0" borderId="1" xfId="0" quotePrefix="1" applyNumberFormat="1" applyFont="1" applyBorder="1" applyAlignment="1">
      <alignment horizontal="center"/>
    </xf>
    <xf numFmtId="0" fontId="27" fillId="0" borderId="46" xfId="5" applyFont="1" applyBorder="1" applyAlignment="1" applyProtection="1">
      <alignment horizontal="center"/>
    </xf>
    <xf numFmtId="0" fontId="27" fillId="0" borderId="0" xfId="5" applyFont="1" applyBorder="1" applyAlignment="1" applyProtection="1">
      <alignment horizontal="center"/>
    </xf>
    <xf numFmtId="0" fontId="27" fillId="0" borderId="47" xfId="5" applyFont="1" applyBorder="1" applyAlignment="1" applyProtection="1">
      <alignment horizontal="center"/>
    </xf>
    <xf numFmtId="0" fontId="26" fillId="0" borderId="46" xfId="5" applyFont="1" applyBorder="1" applyAlignment="1" applyProtection="1">
      <alignment horizontal="center"/>
    </xf>
    <xf numFmtId="0" fontId="26" fillId="0" borderId="0" xfId="5" applyFont="1" applyBorder="1" applyAlignment="1" applyProtection="1">
      <alignment horizontal="center"/>
    </xf>
    <xf numFmtId="0" fontId="26" fillId="0" borderId="47" xfId="5" applyFont="1" applyBorder="1" applyAlignment="1" applyProtection="1">
      <alignment horizontal="center"/>
    </xf>
    <xf numFmtId="0" fontId="26" fillId="0" borderId="3" xfId="5" applyFont="1" applyBorder="1" applyAlignment="1" applyProtection="1">
      <alignment horizontal="left" vertical="center"/>
    </xf>
    <xf numFmtId="0" fontId="26" fillId="0" borderId="3" xfId="5" applyFont="1" applyBorder="1" applyAlignment="1" applyProtection="1">
      <alignment horizontal="left" vertical="center" wrapText="1"/>
    </xf>
    <xf numFmtId="0" fontId="52" fillId="0" borderId="3" xfId="0" applyFont="1" applyBorder="1" applyAlignment="1">
      <alignment horizontal="center" vertical="center"/>
    </xf>
    <xf numFmtId="0" fontId="24" fillId="0" borderId="0" xfId="5" applyFont="1" applyBorder="1" applyAlignment="1" applyProtection="1">
      <alignment horizontal="left" vertical="center"/>
    </xf>
    <xf numFmtId="0" fontId="24" fillId="0" borderId="0" xfId="5" applyFont="1" applyBorder="1" applyAlignment="1" applyProtection="1">
      <alignment horizontal="center" vertical="center"/>
    </xf>
    <xf numFmtId="0" fontId="25" fillId="3" borderId="17" xfId="8" applyFont="1" applyFill="1" applyBorder="1" applyAlignment="1">
      <alignment horizontal="center" vertical="center"/>
    </xf>
    <xf numFmtId="0" fontId="45" fillId="3" borderId="3" xfId="8" applyFont="1" applyFill="1" applyBorder="1" applyAlignment="1">
      <alignment horizontal="center" vertical="center" wrapText="1"/>
    </xf>
    <xf numFmtId="0" fontId="26" fillId="3" borderId="3" xfId="8" applyFont="1" applyFill="1" applyBorder="1" applyAlignment="1">
      <alignment horizontal="left" vertical="center" wrapText="1"/>
    </xf>
    <xf numFmtId="174" fontId="26" fillId="3" borderId="3" xfId="8" applyNumberFormat="1" applyFont="1" applyFill="1" applyBorder="1" applyAlignment="1">
      <alignment horizontal="left" vertical="center" wrapText="1"/>
    </xf>
    <xf numFmtId="0" fontId="11" fillId="0" borderId="29" xfId="8" applyBorder="1" applyAlignment="1">
      <alignment horizontal="center" vertical="center"/>
    </xf>
    <xf numFmtId="0" fontId="11" fillId="0" borderId="44" xfId="8" applyBorder="1" applyAlignment="1">
      <alignment horizontal="center" vertical="center"/>
    </xf>
    <xf numFmtId="0" fontId="11" fillId="0" borderId="45" xfId="8" applyBorder="1" applyAlignment="1">
      <alignment horizontal="center" vertical="center"/>
    </xf>
    <xf numFmtId="167" fontId="27" fillId="0" borderId="3" xfId="8" applyNumberFormat="1" applyFont="1" applyBorder="1" applyAlignment="1">
      <alignment horizontal="left" vertical="center" wrapText="1"/>
    </xf>
    <xf numFmtId="0" fontId="46" fillId="13" borderId="3" xfId="8" applyFont="1" applyFill="1" applyBorder="1" applyAlignment="1">
      <alignment horizontal="center" vertical="center" wrapText="1"/>
    </xf>
    <xf numFmtId="0" fontId="27" fillId="0" borderId="3" xfId="8" applyFont="1" applyFill="1" applyBorder="1" applyAlignment="1">
      <alignment horizontal="center" vertical="center" wrapText="1"/>
    </xf>
    <xf numFmtId="0" fontId="27" fillId="3" borderId="3" xfId="8" applyFont="1" applyFill="1" applyBorder="1" applyAlignment="1">
      <alignment horizontal="center" vertical="center" wrapText="1"/>
    </xf>
    <xf numFmtId="0" fontId="24" fillId="0" borderId="3" xfId="8" applyFont="1" applyFill="1" applyBorder="1" applyAlignment="1">
      <alignment horizontal="left" vertical="center"/>
    </xf>
    <xf numFmtId="0" fontId="24" fillId="0" borderId="17" xfId="8" applyFont="1" applyFill="1" applyBorder="1" applyAlignment="1">
      <alignment horizontal="left" vertical="center"/>
    </xf>
    <xf numFmtId="0" fontId="24" fillId="0" borderId="27" xfId="8" applyFont="1" applyFill="1" applyBorder="1" applyAlignment="1">
      <alignment horizontal="left" vertical="center"/>
    </xf>
    <xf numFmtId="0" fontId="24" fillId="0" borderId="3" xfId="8" applyFont="1" applyFill="1" applyBorder="1" applyAlignment="1">
      <alignment horizontal="left" vertical="center" wrapText="1"/>
    </xf>
    <xf numFmtId="10" fontId="24" fillId="13" borderId="3" xfId="10" applyNumberFormat="1" applyFont="1" applyFill="1" applyBorder="1" applyAlignment="1" applyProtection="1">
      <alignment horizontal="center" vertical="center" wrapText="1"/>
    </xf>
    <xf numFmtId="10" fontId="24" fillId="36" borderId="3" xfId="10" applyNumberFormat="1" applyFont="1" applyFill="1" applyBorder="1" applyAlignment="1" applyProtection="1">
      <alignment horizontal="center" vertical="center" wrapText="1"/>
    </xf>
    <xf numFmtId="167" fontId="27" fillId="13" borderId="3" xfId="8" applyNumberFormat="1" applyFont="1" applyFill="1" applyBorder="1" applyAlignment="1">
      <alignment horizontal="center" vertical="center" wrapText="1"/>
    </xf>
    <xf numFmtId="167" fontId="27" fillId="36" borderId="3" xfId="8" applyNumberFormat="1" applyFont="1" applyFill="1" applyBorder="1" applyAlignment="1">
      <alignment horizontal="center" vertical="center" wrapText="1"/>
    </xf>
    <xf numFmtId="0" fontId="31" fillId="22" borderId="0" xfId="6" applyFont="1" applyFill="1" applyAlignment="1">
      <alignment horizontal="center"/>
    </xf>
    <xf numFmtId="2" fontId="32" fillId="34" borderId="3" xfId="6" applyNumberFormat="1" applyFont="1" applyFill="1" applyBorder="1" applyAlignment="1">
      <alignment horizontal="center" vertical="center"/>
    </xf>
    <xf numFmtId="1" fontId="34" fillId="0" borderId="3" xfId="6" applyNumberFormat="1" applyFont="1" applyBorder="1" applyAlignment="1">
      <alignment horizontal="center" vertical="center"/>
    </xf>
    <xf numFmtId="0" fontId="34" fillId="0" borderId="3" xfId="6" applyNumberFormat="1" applyFont="1" applyBorder="1" applyAlignment="1">
      <alignment horizontal="center" vertical="center"/>
    </xf>
    <xf numFmtId="2" fontId="34" fillId="0" borderId="3" xfId="6" applyNumberFormat="1" applyFont="1" applyBorder="1" applyAlignment="1">
      <alignment horizontal="center" vertical="center"/>
    </xf>
    <xf numFmtId="0" fontId="26" fillId="0" borderId="3" xfId="6" applyFont="1" applyBorder="1" applyAlignment="1">
      <alignment horizontal="right" vertical="center"/>
    </xf>
    <xf numFmtId="2" fontId="32" fillId="0" borderId="18" xfId="6" applyNumberFormat="1" applyFont="1" applyBorder="1" applyAlignment="1">
      <alignment horizontal="right" wrapText="1"/>
    </xf>
    <xf numFmtId="2" fontId="32" fillId="0" borderId="19" xfId="6" applyNumberFormat="1" applyFont="1" applyBorder="1" applyAlignment="1">
      <alignment horizontal="right" wrapText="1"/>
    </xf>
    <xf numFmtId="2" fontId="32" fillId="0" borderId="16" xfId="6" applyNumberFormat="1" applyFont="1" applyBorder="1" applyAlignment="1">
      <alignment horizontal="right" wrapText="1"/>
    </xf>
    <xf numFmtId="2" fontId="32" fillId="0" borderId="0" xfId="6" applyNumberFormat="1" applyFont="1" applyBorder="1" applyAlignment="1">
      <alignment wrapText="1"/>
    </xf>
    <xf numFmtId="2" fontId="32" fillId="34" borderId="3" xfId="6" applyNumberFormat="1" applyFont="1" applyFill="1" applyBorder="1" applyAlignment="1">
      <alignment wrapText="1"/>
    </xf>
    <xf numFmtId="2" fontId="34" fillId="0" borderId="3" xfId="6" applyNumberFormat="1" applyFont="1" applyBorder="1" applyAlignment="1">
      <alignment wrapText="1"/>
    </xf>
    <xf numFmtId="2" fontId="32" fillId="0" borderId="3" xfId="6" applyNumberFormat="1" applyFont="1" applyBorder="1" applyAlignment="1">
      <alignment wrapText="1"/>
    </xf>
    <xf numFmtId="2" fontId="32" fillId="0" borderId="3" xfId="6" applyNumberFormat="1" applyFont="1" applyBorder="1" applyAlignment="1">
      <alignment horizontal="right" wrapText="1"/>
    </xf>
    <xf numFmtId="2" fontId="32" fillId="0" borderId="25" xfId="6" applyNumberFormat="1" applyFont="1" applyBorder="1" applyAlignment="1">
      <alignment wrapText="1"/>
    </xf>
    <xf numFmtId="2" fontId="32" fillId="34" borderId="18" xfId="6" applyNumberFormat="1" applyFont="1" applyFill="1" applyBorder="1" applyAlignment="1">
      <alignment wrapText="1"/>
    </xf>
    <xf numFmtId="2" fontId="32" fillId="34" borderId="19" xfId="6" applyNumberFormat="1" applyFont="1" applyFill="1" applyBorder="1" applyAlignment="1">
      <alignment wrapText="1"/>
    </xf>
    <xf numFmtId="2" fontId="32" fillId="34" borderId="16" xfId="6" applyNumberFormat="1" applyFont="1" applyFill="1" applyBorder="1" applyAlignment="1">
      <alignment wrapText="1"/>
    </xf>
    <xf numFmtId="2" fontId="34" fillId="0" borderId="18" xfId="6" applyNumberFormat="1" applyFont="1" applyBorder="1" applyAlignment="1">
      <alignment wrapText="1"/>
    </xf>
    <xf numFmtId="2" fontId="34" fillId="0" borderId="19" xfId="6" applyNumberFormat="1" applyFont="1" applyBorder="1" applyAlignment="1">
      <alignment wrapText="1"/>
    </xf>
    <xf numFmtId="2" fontId="34" fillId="0" borderId="16" xfId="6" applyNumberFormat="1" applyFont="1" applyBorder="1" applyAlignment="1">
      <alignment wrapText="1"/>
    </xf>
    <xf numFmtId="2" fontId="32" fillId="0" borderId="18" xfId="6" applyNumberFormat="1" applyFont="1" applyBorder="1" applyAlignment="1">
      <alignment wrapText="1"/>
    </xf>
    <xf numFmtId="2" fontId="32" fillId="0" borderId="19" xfId="6" applyNumberFormat="1" applyFont="1" applyBorder="1" applyAlignment="1">
      <alignment wrapText="1"/>
    </xf>
    <xf numFmtId="2" fontId="32" fillId="0" borderId="16" xfId="6" applyNumberFormat="1" applyFont="1" applyBorder="1" applyAlignment="1">
      <alignment wrapText="1"/>
    </xf>
    <xf numFmtId="2" fontId="32" fillId="34" borderId="18" xfId="6" applyNumberFormat="1" applyFont="1" applyFill="1" applyBorder="1" applyAlignment="1">
      <alignment horizontal="center" vertical="center"/>
    </xf>
    <xf numFmtId="2" fontId="32" fillId="34" borderId="16" xfId="6" applyNumberFormat="1" applyFont="1" applyFill="1" applyBorder="1" applyAlignment="1">
      <alignment horizontal="center" vertical="center"/>
    </xf>
    <xf numFmtId="2" fontId="32" fillId="0" borderId="19" xfId="6" applyNumberFormat="1" applyFont="1" applyBorder="1" applyAlignment="1">
      <alignment horizontal="right" vertical="top" wrapText="1"/>
    </xf>
    <xf numFmtId="2" fontId="32" fillId="0" borderId="3" xfId="6" applyNumberFormat="1" applyFont="1" applyBorder="1" applyAlignment="1">
      <alignment horizontal="right" vertical="top" wrapText="1"/>
    </xf>
    <xf numFmtId="2" fontId="34" fillId="0" borderId="3" xfId="6" applyNumberFormat="1" applyFont="1" applyBorder="1" applyAlignment="1">
      <alignment horizontal="center" vertical="top"/>
    </xf>
    <xf numFmtId="2" fontId="32" fillId="0" borderId="18" xfId="6" applyNumberFormat="1" applyFont="1" applyBorder="1" applyAlignment="1">
      <alignment horizontal="right" vertical="top" wrapText="1"/>
    </xf>
    <xf numFmtId="2" fontId="32" fillId="0" borderId="16" xfId="6" applyNumberFormat="1" applyFont="1" applyBorder="1" applyAlignment="1">
      <alignment horizontal="right" vertical="top" wrapText="1"/>
    </xf>
    <xf numFmtId="2" fontId="32" fillId="0" borderId="3" xfId="6" applyNumberFormat="1" applyFont="1" applyBorder="1" applyAlignment="1">
      <alignment horizontal="right" vertical="center" wrapText="1"/>
    </xf>
    <xf numFmtId="0" fontId="34" fillId="0" borderId="3" xfId="6" applyNumberFormat="1" applyFont="1" applyBorder="1" applyAlignment="1">
      <alignment horizontal="center" vertical="top"/>
    </xf>
    <xf numFmtId="2" fontId="34" fillId="0" borderId="18" xfId="6" applyNumberFormat="1" applyFont="1" applyBorder="1" applyAlignment="1">
      <alignment horizontal="center" vertical="center"/>
    </xf>
    <xf numFmtId="2" fontId="34" fillId="0" borderId="16" xfId="6" applyNumberFormat="1" applyFont="1" applyBorder="1" applyAlignment="1">
      <alignment horizontal="center" vertical="center"/>
    </xf>
    <xf numFmtId="0" fontId="40" fillId="0" borderId="25" xfId="6" applyFont="1" applyBorder="1" applyAlignment="1">
      <alignment horizontal="right" vertical="center"/>
    </xf>
    <xf numFmtId="0" fontId="40" fillId="0" borderId="3" xfId="6" applyFont="1" applyBorder="1" applyAlignment="1">
      <alignment horizontal="right" vertical="center"/>
    </xf>
    <xf numFmtId="2" fontId="32" fillId="0" borderId="3" xfId="6" applyNumberFormat="1" applyFont="1" applyFill="1" applyBorder="1" applyAlignment="1">
      <alignment horizontal="right" vertical="center" wrapText="1"/>
    </xf>
    <xf numFmtId="2" fontId="27" fillId="0" borderId="0" xfId="0" applyNumberFormat="1" applyFont="1" applyBorder="1" applyAlignment="1">
      <alignment horizontal="left" vertical="center" wrapText="1"/>
    </xf>
    <xf numFmtId="2" fontId="26" fillId="0" borderId="0" xfId="0" applyNumberFormat="1" applyFont="1" applyBorder="1" applyAlignment="1">
      <alignment wrapText="1"/>
    </xf>
    <xf numFmtId="4" fontId="26" fillId="0" borderId="18" xfId="0" applyNumberFormat="1" applyFont="1" applyBorder="1" applyAlignment="1">
      <alignment horizontal="right" vertical="center" wrapText="1"/>
    </xf>
    <xf numFmtId="4" fontId="26" fillId="0" borderId="19" xfId="0" applyNumberFormat="1" applyFont="1" applyBorder="1" applyAlignment="1">
      <alignment horizontal="right" vertical="center" wrapText="1"/>
    </xf>
    <xf numFmtId="4" fontId="26" fillId="0" borderId="16" xfId="0" applyNumberFormat="1" applyFont="1" applyBorder="1" applyAlignment="1">
      <alignment horizontal="right" vertical="center" wrapText="1"/>
    </xf>
    <xf numFmtId="2" fontId="27" fillId="0" borderId="0" xfId="0" applyNumberFormat="1" applyFont="1" applyBorder="1" applyAlignment="1">
      <alignment horizontal="center" vertical="center" wrapText="1"/>
    </xf>
    <xf numFmtId="2" fontId="26" fillId="34" borderId="18" xfId="0" applyNumberFormat="1" applyFont="1" applyFill="1" applyBorder="1" applyAlignment="1">
      <alignment horizontal="center" vertical="center" wrapText="1"/>
    </xf>
    <xf numFmtId="2" fontId="26" fillId="34" borderId="19" xfId="0" applyNumberFormat="1" applyFont="1" applyFill="1" applyBorder="1" applyAlignment="1">
      <alignment horizontal="center" vertical="center" wrapText="1"/>
    </xf>
    <xf numFmtId="2" fontId="26" fillId="34" borderId="16" xfId="0" applyNumberFormat="1" applyFont="1" applyFill="1" applyBorder="1" applyAlignment="1">
      <alignment horizontal="center" vertical="center" wrapText="1"/>
    </xf>
    <xf numFmtId="177" fontId="25" fillId="0" borderId="18" xfId="0" applyNumberFormat="1" applyFont="1" applyBorder="1" applyAlignment="1">
      <alignment horizontal="center" vertical="center" wrapText="1"/>
    </xf>
    <xf numFmtId="177" fontId="25" fillId="0" borderId="19" xfId="0" applyNumberFormat="1" applyFont="1" applyBorder="1" applyAlignment="1">
      <alignment horizontal="center" vertical="center" wrapText="1"/>
    </xf>
    <xf numFmtId="177" fontId="25" fillId="0" borderId="16" xfId="0" applyNumberFormat="1" applyFont="1" applyBorder="1" applyAlignment="1">
      <alignment horizontal="center" vertical="center" wrapText="1"/>
    </xf>
    <xf numFmtId="0" fontId="42" fillId="0" borderId="0" xfId="9" applyFont="1" applyFill="1" applyAlignment="1">
      <alignment horizontal="left" wrapText="1"/>
    </xf>
    <xf numFmtId="0" fontId="42" fillId="0" borderId="0" xfId="9" applyFont="1" applyFill="1" applyAlignment="1">
      <alignment wrapText="1"/>
    </xf>
    <xf numFmtId="2" fontId="26" fillId="34" borderId="3" xfId="9" applyNumberFormat="1" applyFont="1" applyFill="1" applyBorder="1" applyAlignment="1">
      <alignment horizontal="center" vertical="center"/>
    </xf>
    <xf numFmtId="2" fontId="34" fillId="0" borderId="3" xfId="11" applyNumberFormat="1" applyFont="1" applyBorder="1" applyAlignment="1">
      <alignment horizontal="center" vertical="center"/>
    </xf>
    <xf numFmtId="0" fontId="43" fillId="0" borderId="0" xfId="9" applyFont="1" applyFill="1" applyAlignment="1">
      <alignment wrapText="1"/>
    </xf>
    <xf numFmtId="0" fontId="42" fillId="0" borderId="34" xfId="9" applyFont="1" applyFill="1" applyBorder="1" applyAlignment="1">
      <alignment horizontal="right" wrapText="1"/>
    </xf>
    <xf numFmtId="0" fontId="42" fillId="0" borderId="32" xfId="9" applyFont="1" applyFill="1" applyBorder="1" applyAlignment="1">
      <alignment horizontal="right" wrapText="1"/>
    </xf>
    <xf numFmtId="0" fontId="42" fillId="0" borderId="35" xfId="9" applyFont="1" applyFill="1" applyBorder="1" applyAlignment="1">
      <alignment horizontal="right" wrapText="1"/>
    </xf>
    <xf numFmtId="0" fontId="42" fillId="0" borderId="33" xfId="9" applyFont="1" applyFill="1" applyBorder="1" applyAlignment="1">
      <alignment horizontal="right" wrapText="1"/>
    </xf>
    <xf numFmtId="0" fontId="43" fillId="0" borderId="36" xfId="9" applyFont="1" applyFill="1" applyBorder="1" applyAlignment="1">
      <alignment wrapText="1"/>
    </xf>
    <xf numFmtId="0" fontId="42" fillId="0" borderId="3" xfId="9" applyFont="1" applyFill="1" applyBorder="1" applyAlignment="1">
      <alignment horizontal="right" wrapText="1"/>
    </xf>
    <xf numFmtId="0" fontId="43" fillId="0" borderId="0" xfId="9" applyFont="1" applyFill="1" applyBorder="1" applyAlignment="1">
      <alignment wrapText="1"/>
    </xf>
    <xf numFmtId="0" fontId="42" fillId="35" borderId="39" xfId="9" applyFont="1" applyFill="1" applyBorder="1" applyAlignment="1">
      <alignment wrapText="1"/>
    </xf>
    <xf numFmtId="0" fontId="42" fillId="35" borderId="32" xfId="9" applyFont="1" applyFill="1" applyBorder="1" applyAlignment="1">
      <alignment wrapText="1"/>
    </xf>
    <xf numFmtId="0" fontId="42" fillId="35" borderId="33" xfId="9" applyFont="1" applyFill="1" applyBorder="1" applyAlignment="1">
      <alignment wrapText="1"/>
    </xf>
    <xf numFmtId="0" fontId="43" fillId="0" borderId="39" xfId="9" applyFont="1" applyFill="1" applyBorder="1" applyAlignment="1">
      <alignment wrapText="1"/>
    </xf>
    <xf numFmtId="0" fontId="43" fillId="0" borderId="32" xfId="9" applyFont="1" applyFill="1" applyBorder="1" applyAlignment="1">
      <alignment wrapText="1"/>
    </xf>
    <xf numFmtId="0" fontId="43" fillId="0" borderId="33" xfId="9" applyFont="1" applyFill="1" applyBorder="1" applyAlignment="1">
      <alignment wrapText="1"/>
    </xf>
    <xf numFmtId="0" fontId="42" fillId="0" borderId="39" xfId="9" applyFont="1" applyFill="1" applyBorder="1" applyAlignment="1">
      <alignment wrapText="1"/>
    </xf>
    <xf numFmtId="0" fontId="42" fillId="0" borderId="32" xfId="9" applyFont="1" applyFill="1" applyBorder="1" applyAlignment="1">
      <alignment wrapText="1"/>
    </xf>
    <xf numFmtId="0" fontId="42" fillId="0" borderId="33" xfId="9" applyFont="1" applyFill="1" applyBorder="1" applyAlignment="1">
      <alignment wrapText="1"/>
    </xf>
    <xf numFmtId="0" fontId="27" fillId="0" borderId="0" xfId="9" applyFont="1" applyFill="1" applyAlignment="1">
      <alignment horizontal="left" wrapText="1"/>
    </xf>
    <xf numFmtId="2" fontId="25" fillId="0" borderId="0" xfId="5" applyNumberFormat="1" applyFont="1" applyBorder="1" applyAlignment="1" applyProtection="1">
      <alignment vertical="center" wrapText="1"/>
    </xf>
    <xf numFmtId="2" fontId="25" fillId="0" borderId="0" xfId="5" applyNumberFormat="1" applyFont="1" applyBorder="1" applyAlignment="1" applyProtection="1">
      <alignment wrapText="1"/>
    </xf>
    <xf numFmtId="2" fontId="26" fillId="0" borderId="0" xfId="5" applyNumberFormat="1" applyFont="1" applyBorder="1" applyAlignment="1" applyProtection="1">
      <alignment wrapText="1"/>
    </xf>
    <xf numFmtId="2" fontId="25" fillId="0" borderId="25" xfId="5" applyNumberFormat="1" applyFont="1" applyBorder="1" applyAlignment="1" applyProtection="1">
      <alignment wrapText="1"/>
    </xf>
    <xf numFmtId="2" fontId="26" fillId="0" borderId="3" xfId="5" applyNumberFormat="1" applyFont="1" applyBorder="1" applyAlignment="1" applyProtection="1">
      <alignment horizontal="right" wrapText="1"/>
    </xf>
    <xf numFmtId="0" fontId="0" fillId="0" borderId="28" xfId="5" applyFont="1" applyBorder="1" applyAlignment="1" applyProtection="1">
      <alignment wrapText="1"/>
    </xf>
    <xf numFmtId="2" fontId="26" fillId="34" borderId="3" xfId="5" applyNumberFormat="1" applyFont="1" applyFill="1" applyBorder="1" applyAlignment="1" applyProtection="1">
      <alignment wrapText="1"/>
    </xf>
    <xf numFmtId="2" fontId="25" fillId="0" borderId="3" xfId="5" applyNumberFormat="1" applyFont="1" applyBorder="1" applyAlignment="1" applyProtection="1">
      <alignment wrapText="1"/>
    </xf>
    <xf numFmtId="2" fontId="26" fillId="0" borderId="3" xfId="5" applyNumberFormat="1" applyFont="1" applyBorder="1" applyAlignment="1" applyProtection="1">
      <alignment wrapText="1"/>
    </xf>
    <xf numFmtId="1" fontId="25" fillId="0" borderId="3" xfId="0" applyNumberFormat="1" applyFont="1" applyBorder="1" applyAlignment="1">
      <alignment horizontal="center" vertical="top"/>
    </xf>
    <xf numFmtId="1" fontId="44" fillId="0" borderId="3" xfId="0" applyNumberFormat="1" applyFont="1" applyBorder="1" applyAlignment="1">
      <alignment horizontal="center" vertical="top"/>
    </xf>
    <xf numFmtId="2" fontId="34" fillId="0" borderId="17" xfId="6" applyNumberFormat="1" applyFont="1" applyBorder="1" applyAlignment="1">
      <alignment horizontal="center" vertical="center" wrapText="1"/>
    </xf>
    <xf numFmtId="2" fontId="34" fillId="0" borderId="27" xfId="6" applyNumberFormat="1" applyFont="1" applyBorder="1" applyAlignment="1">
      <alignment horizontal="center" vertical="center" wrapText="1"/>
    </xf>
    <xf numFmtId="2" fontId="34" fillId="0" borderId="26" xfId="6" applyNumberFormat="1" applyFont="1" applyBorder="1" applyAlignment="1">
      <alignment horizontal="center" vertical="center" wrapText="1"/>
    </xf>
    <xf numFmtId="2" fontId="34" fillId="0" borderId="3" xfId="6" applyNumberFormat="1" applyFont="1" applyBorder="1" applyAlignment="1">
      <alignment horizontal="center" wrapText="1"/>
    </xf>
    <xf numFmtId="2" fontId="34" fillId="0" borderId="3" xfId="6" applyNumberFormat="1" applyFont="1" applyFill="1" applyBorder="1" applyAlignment="1">
      <alignment horizontal="center" vertical="center" wrapText="1"/>
    </xf>
    <xf numFmtId="2" fontId="34" fillId="0" borderId="28" xfId="6" applyNumberFormat="1" applyFont="1" applyBorder="1" applyAlignment="1">
      <alignment horizontal="center" vertical="center" wrapText="1"/>
    </xf>
    <xf numFmtId="2" fontId="34" fillId="0" borderId="25" xfId="6" applyNumberFormat="1" applyFont="1" applyBorder="1" applyAlignment="1">
      <alignment horizontal="center" vertical="center" wrapText="1"/>
    </xf>
    <xf numFmtId="2" fontId="34" fillId="0" borderId="3" xfId="6" applyNumberFormat="1" applyFont="1" applyBorder="1" applyAlignment="1">
      <alignment horizontal="center" vertical="center" wrapText="1"/>
    </xf>
    <xf numFmtId="0" fontId="34" fillId="0" borderId="17" xfId="6" applyFont="1" applyBorder="1" applyAlignment="1">
      <alignment horizontal="center" vertical="center" wrapText="1"/>
    </xf>
    <xf numFmtId="0" fontId="34" fillId="0" borderId="27" xfId="6" applyFont="1" applyBorder="1" applyAlignment="1">
      <alignment horizontal="center" vertical="center" wrapText="1"/>
    </xf>
    <xf numFmtId="0" fontId="34" fillId="0" borderId="26" xfId="6" applyFont="1" applyBorder="1" applyAlignment="1">
      <alignment horizontal="center" vertical="center" wrapText="1"/>
    </xf>
    <xf numFmtId="0" fontId="34" fillId="0" borderId="28" xfId="6" applyFont="1" applyBorder="1" applyAlignment="1">
      <alignment horizontal="center" vertical="center" wrapText="1"/>
    </xf>
    <xf numFmtId="0" fontId="34" fillId="0" borderId="25" xfId="6" applyFont="1" applyBorder="1" applyAlignment="1">
      <alignment horizontal="center" vertical="center" wrapText="1"/>
    </xf>
    <xf numFmtId="0" fontId="34" fillId="0" borderId="3" xfId="6" applyFont="1" applyBorder="1" applyAlignment="1">
      <alignment horizontal="center" vertical="center" wrapText="1"/>
    </xf>
    <xf numFmtId="2" fontId="34" fillId="0" borderId="3" xfId="6" applyNumberFormat="1" applyFont="1" applyBorder="1" applyAlignment="1">
      <alignment horizontal="right" vertical="top" wrapText="1"/>
    </xf>
    <xf numFmtId="2" fontId="34" fillId="0" borderId="17" xfId="6" applyNumberFormat="1" applyFont="1" applyBorder="1" applyAlignment="1">
      <alignment horizontal="right" vertical="top" wrapText="1"/>
    </xf>
    <xf numFmtId="2" fontId="34" fillId="0" borderId="26" xfId="6" applyNumberFormat="1" applyFont="1" applyBorder="1" applyAlignment="1">
      <alignment horizontal="right" vertical="top" wrapText="1"/>
    </xf>
    <xf numFmtId="2" fontId="34" fillId="0" borderId="27" xfId="6" applyNumberFormat="1" applyFont="1" applyBorder="1" applyAlignment="1">
      <alignment horizontal="right" vertical="top" wrapText="1"/>
    </xf>
    <xf numFmtId="175" fontId="34" fillId="0" borderId="17" xfId="6" applyNumberFormat="1" applyFont="1" applyBorder="1" applyAlignment="1">
      <alignment horizontal="center" vertical="center" wrapText="1"/>
    </xf>
    <xf numFmtId="175" fontId="34" fillId="0" borderId="27" xfId="6" applyNumberFormat="1" applyFont="1" applyBorder="1" applyAlignment="1">
      <alignment horizontal="center" vertical="center" wrapText="1"/>
    </xf>
    <xf numFmtId="175" fontId="34" fillId="0" borderId="26" xfId="6" applyNumberFormat="1" applyFont="1" applyBorder="1" applyAlignment="1">
      <alignment horizontal="center" vertical="center" wrapText="1"/>
    </xf>
    <xf numFmtId="175" fontId="34" fillId="0" borderId="28" xfId="6" applyNumberFormat="1" applyFont="1" applyBorder="1" applyAlignment="1">
      <alignment horizontal="center" vertical="center" wrapText="1"/>
    </xf>
    <xf numFmtId="175" fontId="34" fillId="0" borderId="25" xfId="6" applyNumberFormat="1" applyFont="1" applyBorder="1" applyAlignment="1">
      <alignment horizontal="center" vertical="center" wrapText="1"/>
    </xf>
    <xf numFmtId="175" fontId="34" fillId="0" borderId="3" xfId="6" applyNumberFormat="1" applyFont="1" applyFill="1" applyBorder="1" applyAlignment="1">
      <alignment horizontal="center" vertical="center" wrapText="1"/>
    </xf>
    <xf numFmtId="0" fontId="43" fillId="0" borderId="30" xfId="9" applyFont="1" applyFill="1" applyBorder="1" applyAlignment="1">
      <alignment horizontal="right" vertical="top" wrapText="1"/>
    </xf>
    <xf numFmtId="0" fontId="43" fillId="0" borderId="40" xfId="9" applyFont="1" applyFill="1" applyBorder="1" applyAlignment="1">
      <alignment horizontal="right" vertical="top" wrapText="1"/>
    </xf>
    <xf numFmtId="0" fontId="43" fillId="0" borderId="41" xfId="9" applyFont="1" applyFill="1" applyBorder="1" applyAlignment="1">
      <alignment horizontal="right" vertical="top" wrapText="1"/>
    </xf>
    <xf numFmtId="2" fontId="25" fillId="0" borderId="3" xfId="5" applyNumberFormat="1" applyFont="1" applyBorder="1" applyAlignment="1" applyProtection="1">
      <alignment horizontal="right" vertical="top" wrapText="1"/>
    </xf>
    <xf numFmtId="2" fontId="34" fillId="0" borderId="17" xfId="6" applyNumberFormat="1" applyFont="1" applyBorder="1" applyAlignment="1">
      <alignment horizontal="center" vertical="top" wrapText="1"/>
    </xf>
    <xf numFmtId="2" fontId="34" fillId="0" borderId="27" xfId="6" applyNumberFormat="1" applyFont="1" applyBorder="1" applyAlignment="1">
      <alignment horizontal="center" vertical="top" wrapText="1"/>
    </xf>
    <xf numFmtId="2" fontId="34" fillId="0" borderId="26" xfId="6" applyNumberFormat="1" applyFont="1" applyBorder="1" applyAlignment="1">
      <alignment horizontal="center" vertical="top" wrapText="1"/>
    </xf>
    <xf numFmtId="2" fontId="32" fillId="0" borderId="3" xfId="6" applyNumberFormat="1" applyFont="1" applyFill="1" applyBorder="1" applyAlignment="1">
      <alignment horizontal="center" vertical="center" wrapText="1"/>
    </xf>
    <xf numFmtId="2" fontId="32" fillId="0" borderId="3" xfId="6" applyNumberFormat="1" applyFont="1" applyBorder="1" applyAlignment="1">
      <alignment horizontal="center" wrapText="1"/>
    </xf>
    <xf numFmtId="0" fontId="30" fillId="0" borderId="0" xfId="6" applyFont="1" applyAlignment="1">
      <alignment horizontal="left" wrapText="1"/>
    </xf>
    <xf numFmtId="0" fontId="0" fillId="14" borderId="3" xfId="0" applyFill="1" applyBorder="1" applyAlignment="1">
      <alignment horizontal="center"/>
    </xf>
    <xf numFmtId="0" fontId="11" fillId="14" borderId="18" xfId="0" applyFont="1" applyFill="1" applyBorder="1" applyAlignment="1">
      <alignment horizontal="center"/>
    </xf>
    <xf numFmtId="0" fontId="11" fillId="14" borderId="19" xfId="0" applyFont="1" applyFill="1" applyBorder="1" applyAlignment="1">
      <alignment horizontal="center"/>
    </xf>
    <xf numFmtId="0" fontId="11" fillId="14" borderId="16" xfId="0" applyFont="1" applyFill="1" applyBorder="1" applyAlignment="1">
      <alignment horizontal="center"/>
    </xf>
    <xf numFmtId="0" fontId="0" fillId="20" borderId="3" xfId="0" applyFill="1" applyBorder="1" applyAlignment="1">
      <alignment horizontal="center"/>
    </xf>
    <xf numFmtId="0" fontId="0" fillId="21" borderId="3" xfId="0" applyFill="1" applyBorder="1" applyAlignment="1">
      <alignment horizontal="center"/>
    </xf>
    <xf numFmtId="0" fontId="11" fillId="14" borderId="3" xfId="0" applyFont="1" applyFill="1" applyBorder="1" applyAlignment="1">
      <alignment horizontal="center"/>
    </xf>
    <xf numFmtId="0" fontId="11" fillId="21" borderId="3" xfId="0" applyFont="1" applyFill="1" applyBorder="1" applyAlignment="1">
      <alignment horizontal="center"/>
    </xf>
    <xf numFmtId="0" fontId="11" fillId="5" borderId="3" xfId="0" applyFont="1" applyFill="1" applyBorder="1" applyAlignment="1">
      <alignment horizontal="center"/>
    </xf>
    <xf numFmtId="2" fontId="0" fillId="0" borderId="3" xfId="0" applyNumberFormat="1" applyBorder="1" applyAlignment="1">
      <alignment horizontal="center"/>
    </xf>
    <xf numFmtId="0" fontId="0" fillId="15" borderId="3" xfId="0" applyFill="1" applyBorder="1" applyAlignment="1">
      <alignment horizontal="center"/>
    </xf>
    <xf numFmtId="0" fontId="11" fillId="15" borderId="3" xfId="0" applyFont="1" applyFill="1" applyBorder="1" applyAlignment="1">
      <alignment horizontal="center"/>
    </xf>
    <xf numFmtId="0" fontId="0" fillId="0" borderId="3" xfId="0" applyBorder="1" applyAlignment="1">
      <alignment horizontal="center"/>
    </xf>
    <xf numFmtId="0" fontId="11" fillId="0" borderId="3" xfId="0" applyFont="1" applyBorder="1" applyAlignment="1">
      <alignment horizontal="center"/>
    </xf>
    <xf numFmtId="0" fontId="22" fillId="0" borderId="0" xfId="0" applyFont="1" applyFill="1" applyAlignment="1">
      <alignment horizontal="center"/>
    </xf>
    <xf numFmtId="0" fontId="0" fillId="20" borderId="0" xfId="0" applyFill="1" applyAlignment="1">
      <alignment horizontal="center"/>
    </xf>
    <xf numFmtId="0" fontId="11" fillId="0" borderId="0" xfId="0" applyFont="1" applyAlignment="1">
      <alignment horizontal="center"/>
    </xf>
    <xf numFmtId="0" fontId="0" fillId="21" borderId="0" xfId="0" applyFill="1" applyAlignment="1">
      <alignment horizontal="center"/>
    </xf>
    <xf numFmtId="0" fontId="8" fillId="18" borderId="18" xfId="0" applyFont="1" applyFill="1" applyBorder="1" applyAlignment="1">
      <alignment horizontal="center"/>
    </xf>
    <xf numFmtId="0" fontId="8" fillId="18" borderId="19" xfId="0" applyFont="1" applyFill="1" applyBorder="1" applyAlignment="1">
      <alignment horizontal="center"/>
    </xf>
    <xf numFmtId="0" fontId="8" fillId="18" borderId="16" xfId="0" applyFont="1" applyFill="1" applyBorder="1" applyAlignment="1">
      <alignment horizontal="center"/>
    </xf>
    <xf numFmtId="0" fontId="0" fillId="33" borderId="3" xfId="0" applyFill="1" applyBorder="1" applyAlignment="1">
      <alignment horizontal="center"/>
    </xf>
    <xf numFmtId="2" fontId="22" fillId="0" borderId="3" xfId="0" applyNumberFormat="1" applyFont="1" applyBorder="1" applyAlignment="1">
      <alignment horizontal="center"/>
    </xf>
    <xf numFmtId="0" fontId="22" fillId="0" borderId="3" xfId="0" applyFont="1" applyBorder="1" applyAlignment="1">
      <alignment horizontal="center"/>
    </xf>
    <xf numFmtId="0" fontId="9" fillId="0" borderId="18" xfId="0" applyFont="1" applyBorder="1" applyAlignment="1">
      <alignment horizontal="right"/>
    </xf>
    <xf numFmtId="0" fontId="9" fillId="0" borderId="19" xfId="0" applyFont="1" applyBorder="1" applyAlignment="1">
      <alignment horizontal="right"/>
    </xf>
    <xf numFmtId="0" fontId="9" fillId="0" borderId="16" xfId="0" applyFont="1" applyBorder="1" applyAlignment="1">
      <alignment horizontal="right"/>
    </xf>
    <xf numFmtId="0" fontId="11" fillId="16" borderId="3" xfId="0" applyFont="1" applyFill="1" applyBorder="1" applyAlignment="1">
      <alignment horizontal="center"/>
    </xf>
    <xf numFmtId="0" fontId="11" fillId="0" borderId="3" xfId="0" applyFont="1" applyBorder="1" applyAlignment="1">
      <alignment horizontal="left"/>
    </xf>
    <xf numFmtId="0" fontId="11" fillId="21" borderId="0" xfId="0" applyFont="1" applyFill="1" applyAlignment="1">
      <alignment horizontal="center"/>
    </xf>
    <xf numFmtId="0" fontId="0" fillId="0" borderId="0" xfId="0" applyAlignment="1">
      <alignment horizontal="center"/>
    </xf>
    <xf numFmtId="2" fontId="0" fillId="0" borderId="0" xfId="0" applyNumberFormat="1" applyAlignment="1">
      <alignment horizontal="center"/>
    </xf>
    <xf numFmtId="0" fontId="22" fillId="21" borderId="0" xfId="0" applyFont="1" applyFill="1" applyAlignment="1">
      <alignment horizontal="center"/>
    </xf>
    <xf numFmtId="0" fontId="11" fillId="0" borderId="18" xfId="0" applyFont="1" applyBorder="1" applyAlignment="1">
      <alignment horizontal="left"/>
    </xf>
    <xf numFmtId="0" fontId="0" fillId="0" borderId="16" xfId="0" applyBorder="1" applyAlignment="1">
      <alignment horizontal="left"/>
    </xf>
    <xf numFmtId="0" fontId="11" fillId="5" borderId="0" xfId="0" applyFont="1" applyFill="1" applyAlignment="1">
      <alignment horizontal="center"/>
    </xf>
    <xf numFmtId="0" fontId="22" fillId="0" borderId="0" xfId="0" applyFont="1" applyAlignment="1">
      <alignment horizontal="center"/>
    </xf>
    <xf numFmtId="0" fontId="23" fillId="0" borderId="3" xfId="0" applyFont="1" applyBorder="1" applyAlignment="1">
      <alignment horizontal="center"/>
    </xf>
    <xf numFmtId="0" fontId="23" fillId="0" borderId="3" xfId="0" applyFont="1" applyFill="1" applyBorder="1" applyAlignment="1">
      <alignment horizontal="center"/>
    </xf>
    <xf numFmtId="0" fontId="11" fillId="16" borderId="0" xfId="0" applyFont="1" applyFill="1" applyAlignment="1">
      <alignment horizontal="center"/>
    </xf>
    <xf numFmtId="0" fontId="0" fillId="0" borderId="3" xfId="0" applyBorder="1" applyAlignment="1">
      <alignment horizontal="center" vertical="center" wrapText="1"/>
    </xf>
    <xf numFmtId="0" fontId="0" fillId="0" borderId="20" xfId="0"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0" fontId="0" fillId="0" borderId="23" xfId="0" applyBorder="1" applyAlignment="1">
      <alignment horizontal="center"/>
    </xf>
    <xf numFmtId="0" fontId="11" fillId="0" borderId="3" xfId="0" applyFont="1" applyBorder="1" applyAlignment="1">
      <alignment horizontal="center" vertical="center" wrapText="1"/>
    </xf>
    <xf numFmtId="0" fontId="0" fillId="14" borderId="0" xfId="0" applyFill="1" applyAlignment="1">
      <alignment horizontal="center"/>
    </xf>
    <xf numFmtId="0" fontId="11" fillId="14" borderId="0" xfId="0" applyFont="1" applyFill="1" applyAlignment="1">
      <alignment horizontal="center"/>
    </xf>
    <xf numFmtId="0" fontId="0" fillId="15" borderId="0" xfId="0" applyFill="1" applyAlignment="1">
      <alignment horizontal="center"/>
    </xf>
    <xf numFmtId="0" fontId="11" fillId="15" borderId="0" xfId="0" applyFont="1" applyFill="1" applyAlignment="1">
      <alignment horizontal="center"/>
    </xf>
    <xf numFmtId="0" fontId="23" fillId="0" borderId="0" xfId="0" applyFont="1" applyAlignment="1">
      <alignment horizontal="center"/>
    </xf>
    <xf numFmtId="2" fontId="22" fillId="0" borderId="0" xfId="0" applyNumberFormat="1" applyFont="1" applyFill="1" applyAlignment="1">
      <alignment horizontal="center"/>
    </xf>
    <xf numFmtId="0" fontId="8" fillId="18" borderId="0" xfId="0" applyFont="1" applyFill="1" applyAlignment="1">
      <alignment horizontal="center"/>
    </xf>
    <xf numFmtId="0" fontId="0" fillId="18" borderId="0" xfId="0" applyFill="1" applyAlignment="1">
      <alignment horizontal="center"/>
    </xf>
    <xf numFmtId="0" fontId="11" fillId="19" borderId="0" xfId="0" applyFont="1" applyFill="1" applyAlignment="1">
      <alignment horizontal="center"/>
    </xf>
    <xf numFmtId="0" fontId="0" fillId="19" borderId="0" xfId="0" applyFill="1" applyAlignment="1">
      <alignment horizontal="center"/>
    </xf>
    <xf numFmtId="0" fontId="11" fillId="0" borderId="0" xfId="0" applyFont="1" applyFill="1" applyAlignment="1">
      <alignment horizontal="center"/>
    </xf>
    <xf numFmtId="0" fontId="0" fillId="0" borderId="0" xfId="0" applyFill="1" applyAlignment="1">
      <alignment horizontal="center"/>
    </xf>
    <xf numFmtId="2" fontId="0" fillId="0" borderId="0" xfId="0" applyNumberFormat="1" applyFill="1" applyAlignment="1">
      <alignment horizontal="center"/>
    </xf>
    <xf numFmtId="0" fontId="11" fillId="0" borderId="0" xfId="0" applyFont="1" applyAlignment="1">
      <alignment horizontal="left"/>
    </xf>
    <xf numFmtId="0" fontId="11" fillId="22" borderId="0" xfId="0" applyFont="1" applyFill="1" applyAlignment="1">
      <alignment horizontal="center"/>
    </xf>
    <xf numFmtId="0" fontId="0" fillId="0" borderId="1" xfId="0" applyFont="1" applyBorder="1" applyAlignment="1">
      <alignment horizontal="center" vertical="center" indent="1"/>
    </xf>
    <xf numFmtId="0" fontId="7" fillId="7" borderId="0" xfId="0" applyFont="1" applyFill="1" applyBorder="1" applyAlignment="1">
      <alignment horizontal="center" vertical="center"/>
    </xf>
    <xf numFmtId="0" fontId="7" fillId="6" borderId="0" xfId="5" applyFont="1" applyFill="1" applyBorder="1" applyAlignment="1" applyProtection="1">
      <alignment horizontal="center" vertical="center" wrapText="1"/>
    </xf>
    <xf numFmtId="0" fontId="7" fillId="6" borderId="0" xfId="5" applyFont="1" applyFill="1" applyBorder="1" applyAlignment="1" applyProtection="1">
      <alignment horizontal="center" vertical="center"/>
    </xf>
    <xf numFmtId="0" fontId="9" fillId="5" borderId="3" xfId="0" applyFont="1" applyFill="1" applyBorder="1" applyAlignment="1">
      <alignment horizontal="center" vertical="center"/>
    </xf>
    <xf numFmtId="0" fontId="0" fillId="0" borderId="3" xfId="0" applyFont="1" applyBorder="1" applyAlignment="1">
      <alignment horizontal="left"/>
    </xf>
    <xf numFmtId="0" fontId="0" fillId="0" borderId="3" xfId="0" applyFont="1" applyBorder="1" applyAlignment="1">
      <alignment horizontal="center"/>
    </xf>
    <xf numFmtId="0" fontId="9" fillId="0" borderId="3" xfId="0" applyFont="1" applyBorder="1" applyAlignment="1">
      <alignment horizontal="center"/>
    </xf>
    <xf numFmtId="0" fontId="0" fillId="0" borderId="4" xfId="0" applyFont="1" applyBorder="1" applyAlignment="1">
      <alignment horizontal="center"/>
    </xf>
    <xf numFmtId="0" fontId="11" fillId="0" borderId="3" xfId="0" applyFont="1" applyBorder="1" applyAlignment="1">
      <alignment horizontal="center" vertical="center"/>
    </xf>
    <xf numFmtId="0" fontId="0" fillId="0" borderId="3" xfId="0" applyFont="1" applyBorder="1" applyAlignment="1">
      <alignment horizontal="center" vertical="center"/>
    </xf>
  </cellXfs>
  <cellStyles count="12">
    <cellStyle name="Moeda" xfId="3" builtinId="4"/>
    <cellStyle name="Normal" xfId="0" builtinId="0"/>
    <cellStyle name="Normal 10" xfId="6"/>
    <cellStyle name="Normal 10 2" xfId="8"/>
    <cellStyle name="Normal 10 4" xfId="11"/>
    <cellStyle name="Normal 2" xfId="4"/>
    <cellStyle name="Normal 2 6" xfId="1"/>
    <cellStyle name="Normal 4" xfId="9"/>
    <cellStyle name="Porcentagem" xfId="2" builtinId="5"/>
    <cellStyle name="Porcentagem 2" xfId="7"/>
    <cellStyle name="Porcentagem 2 2 2" xfId="10"/>
    <cellStyle name="Texto Explicativo" xfId="5" builtinId="53"/>
  </cellStyles>
  <dxfs count="6">
    <dxf>
      <font>
        <color rgb="FF006100"/>
      </font>
      <fill>
        <patternFill patternType="solid">
          <bgColor rgb="FFC6EFCE"/>
        </patternFill>
      </fill>
    </dxf>
    <dxf>
      <font>
        <color rgb="FF9C6500"/>
      </font>
      <fill>
        <patternFill patternType="solid">
          <bgColor rgb="FFFFEB9C"/>
        </patternFill>
      </fill>
    </dxf>
    <dxf>
      <fill>
        <patternFill patternType="solid">
          <bgColor rgb="FFFFC7CE"/>
        </patternFill>
      </fill>
    </dxf>
    <dxf>
      <font>
        <color rgb="FFFFFFFF"/>
      </font>
    </dxf>
    <dxf>
      <font>
        <color rgb="FFFFFFFF"/>
      </font>
    </dxf>
    <dxf>
      <font>
        <color rgb="FFFFFFFF"/>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8B8"/>
      <rgbColor rgb="00C0C0C0"/>
      <rgbColor rgb="007F7F7F"/>
      <rgbColor rgb="008497B0"/>
      <rgbColor rgb="007030A0"/>
      <rgbColor rgb="00FFFFCC"/>
      <rgbColor rgb="00CCFFFF"/>
      <rgbColor rgb="00660066"/>
      <rgbColor rgb="00FF8080"/>
      <rgbColor rgb="000070C0"/>
      <rgbColor rgb="00D6DCE5"/>
      <rgbColor rgb="00000080"/>
      <rgbColor rgb="00FF00FF"/>
      <rgbColor rgb="00FFFF00"/>
      <rgbColor rgb="0000FFFF"/>
      <rgbColor rgb="00800080"/>
      <rgbColor rgb="00800000"/>
      <rgbColor rgb="000094C8"/>
      <rgbColor rgb="000000FF"/>
      <rgbColor rgb="0000B0F0"/>
      <rgbColor rgb="00CCFFFF"/>
      <rgbColor rgb="00D9D9D9"/>
      <rgbColor rgb="00FFFF99"/>
      <rgbColor rgb="00BFBFBF"/>
      <rgbColor rgb="00FF99CC"/>
      <rgbColor rgb="00A6A6A6"/>
      <rgbColor rgb="00CFCFCF"/>
      <rgbColor rgb="00009ED6"/>
      <rgbColor rgb="005B9BD5"/>
      <rgbColor rgb="0099CC00"/>
      <rgbColor rgb="00FFCC00"/>
      <rgbColor rgb="00FF9900"/>
      <rgbColor rgb="00FF6600"/>
      <rgbColor rgb="0044546A"/>
      <rgbColor rgb="009B9B9B"/>
      <rgbColor rgb="00002060"/>
      <rgbColor rgb="0000B050"/>
      <rgbColor rgb="00003300"/>
      <rgbColor rgb="00404040"/>
      <rgbColor rgb="00CE181E"/>
      <rgbColor rgb="00993366"/>
      <rgbColor rgb="00333399"/>
      <rgbColor rgb="0026262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3</xdr:col>
      <xdr:colOff>3638881</xdr:colOff>
      <xdr:row>1</xdr:row>
      <xdr:rowOff>100854</xdr:rowOff>
    </xdr:from>
    <xdr:to>
      <xdr:col>3</xdr:col>
      <xdr:colOff>4549589</xdr:colOff>
      <xdr:row>6</xdr:row>
      <xdr:rowOff>134281</xdr:rowOff>
    </xdr:to>
    <xdr:pic>
      <xdr:nvPicPr>
        <xdr:cNvPr id="2" name="Picture 1"/>
        <xdr:cNvPicPr/>
      </xdr:nvPicPr>
      <xdr:blipFill>
        <a:blip xmlns:r="http://schemas.openxmlformats.org/officeDocument/2006/relationships" r:embed="rId1"/>
        <a:stretch>
          <a:fillRect/>
        </a:stretch>
      </xdr:blipFill>
      <xdr:spPr>
        <a:xfrm>
          <a:off x="6067425" y="224155"/>
          <a:ext cx="910590" cy="98615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8</xdr:col>
      <xdr:colOff>23495</xdr:colOff>
      <xdr:row>1</xdr:row>
      <xdr:rowOff>191135</xdr:rowOff>
    </xdr:from>
    <xdr:ext cx="1320165" cy="1396365"/>
    <xdr:pic>
      <xdr:nvPicPr>
        <xdr:cNvPr id="2" name="Imagem 2"/>
        <xdr:cNvPicPr/>
      </xdr:nvPicPr>
      <xdr:blipFill>
        <a:blip xmlns:r="http://schemas.openxmlformats.org/officeDocument/2006/relationships" r:embed="rId1"/>
        <a:stretch>
          <a:fillRect/>
        </a:stretch>
      </xdr:blipFill>
      <xdr:spPr>
        <a:xfrm>
          <a:off x="11196320" y="353060"/>
          <a:ext cx="1320165" cy="1396365"/>
        </a:xfrm>
        <a:prstGeom prst="rect">
          <a:avLst/>
        </a:prstGeom>
        <a:ln>
          <a:noFill/>
        </a:ln>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409320</xdr:colOff>
      <xdr:row>41</xdr:row>
      <xdr:rowOff>142560</xdr:rowOff>
    </xdr:to>
    <xdr:sp macro="" textlink="">
      <xdr:nvSpPr>
        <xdr:cNvPr id="9"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8</xdr:col>
      <xdr:colOff>409320</xdr:colOff>
      <xdr:row>41</xdr:row>
      <xdr:rowOff>142560</xdr:rowOff>
    </xdr:to>
    <xdr:sp macro="" textlink="">
      <xdr:nvSpPr>
        <xdr:cNvPr id="10"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8</xdr:col>
      <xdr:colOff>409320</xdr:colOff>
      <xdr:row>41</xdr:row>
      <xdr:rowOff>142560</xdr:rowOff>
    </xdr:to>
    <xdr:sp macro="" textlink="">
      <xdr:nvSpPr>
        <xdr:cNvPr id="11"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8</xdr:col>
      <xdr:colOff>409320</xdr:colOff>
      <xdr:row>41</xdr:row>
      <xdr:rowOff>142560</xdr:rowOff>
    </xdr:to>
    <xdr:sp macro="" textlink="">
      <xdr:nvSpPr>
        <xdr:cNvPr id="12"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xdr:from>
      <xdr:col>0</xdr:col>
      <xdr:colOff>0</xdr:colOff>
      <xdr:row>0</xdr:row>
      <xdr:rowOff>0</xdr:rowOff>
    </xdr:from>
    <xdr:to>
      <xdr:col>8</xdr:col>
      <xdr:colOff>409575</xdr:colOff>
      <xdr:row>41</xdr:row>
      <xdr:rowOff>142875</xdr:rowOff>
    </xdr:to>
    <xdr:sp macro="" textlink="">
      <xdr:nvSpPr>
        <xdr:cNvPr id="4104" name="shapetype_202" hidden="1"/>
        <xdr:cNvSpPr txBox="1">
          <a:spLocks noSelect="1" noChangeArrowheads="1"/>
        </xdr:cNvSpPr>
      </xdr:nvSpPr>
      <xdr:spPr>
        <a:xfrm>
          <a:off x="0" y="0"/>
          <a:ext cx="9525000" cy="9525000"/>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8</xdr:col>
      <xdr:colOff>409575</xdr:colOff>
      <xdr:row>41</xdr:row>
      <xdr:rowOff>142875</xdr:rowOff>
    </xdr:to>
    <xdr:sp macro="" textlink="">
      <xdr:nvSpPr>
        <xdr:cNvPr id="4102" name="shapetype_202" hidden="1"/>
        <xdr:cNvSpPr txBox="1">
          <a:spLocks noSelect="1" noChangeArrowheads="1"/>
        </xdr:cNvSpPr>
      </xdr:nvSpPr>
      <xdr:spPr>
        <a:xfrm>
          <a:off x="0" y="0"/>
          <a:ext cx="9525000" cy="9525000"/>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8</xdr:col>
      <xdr:colOff>409575</xdr:colOff>
      <xdr:row>41</xdr:row>
      <xdr:rowOff>142875</xdr:rowOff>
    </xdr:to>
    <xdr:sp macro="" textlink="">
      <xdr:nvSpPr>
        <xdr:cNvPr id="4100" name="shapetype_202" hidden="1"/>
        <xdr:cNvSpPr txBox="1">
          <a:spLocks noSelect="1" noChangeArrowheads="1"/>
        </xdr:cNvSpPr>
      </xdr:nvSpPr>
      <xdr:spPr>
        <a:xfrm>
          <a:off x="0" y="0"/>
          <a:ext cx="9525000" cy="9525000"/>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8</xdr:col>
      <xdr:colOff>409575</xdr:colOff>
      <xdr:row>41</xdr:row>
      <xdr:rowOff>142875</xdr:rowOff>
    </xdr:to>
    <xdr:sp macro="" textlink="">
      <xdr:nvSpPr>
        <xdr:cNvPr id="4098" name="shapetype_202" hidden="1"/>
        <xdr:cNvSpPr txBox="1">
          <a:spLocks noSelect="1" noChangeArrowheads="1"/>
        </xdr:cNvSpPr>
      </xdr:nvSpPr>
      <xdr:spPr>
        <a:xfrm>
          <a:off x="0" y="0"/>
          <a:ext cx="9525000" cy="9525000"/>
        </a:xfrm>
        <a:prstGeom prst="rect">
          <a:avLst/>
        </a:prstGeom>
        <a:solidFill>
          <a:srgbClr val="FFFFFF"/>
        </a:solidFill>
        <a:ln w="9525">
          <a:solidFill>
            <a:srgbClr val="000000"/>
          </a:solidFill>
          <a:miter lim="800000"/>
        </a:ln>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732960</xdr:colOff>
      <xdr:row>41</xdr:row>
      <xdr:rowOff>28380</xdr:rowOff>
    </xdr:to>
    <xdr:sp macro="" textlink="">
      <xdr:nvSpPr>
        <xdr:cNvPr id="8"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xdr:from>
      <xdr:col>0</xdr:col>
      <xdr:colOff>0</xdr:colOff>
      <xdr:row>0</xdr:row>
      <xdr:rowOff>0</xdr:rowOff>
    </xdr:from>
    <xdr:to>
      <xdr:col>7</xdr:col>
      <xdr:colOff>733425</xdr:colOff>
      <xdr:row>36</xdr:row>
      <xdr:rowOff>219075</xdr:rowOff>
    </xdr:to>
    <xdr:sp macro="" textlink="">
      <xdr:nvSpPr>
        <xdr:cNvPr id="3074" name="shapetype_202" hidden="1"/>
        <xdr:cNvSpPr txBox="1">
          <a:spLocks noSelect="1" noChangeArrowheads="1"/>
        </xdr:cNvSpPr>
      </xdr:nvSpPr>
      <xdr:spPr>
        <a:xfrm>
          <a:off x="0" y="0"/>
          <a:ext cx="9525000" cy="8572500"/>
        </a:xfrm>
        <a:prstGeom prst="rect">
          <a:avLst/>
        </a:prstGeom>
        <a:solidFill>
          <a:srgbClr val="FFFFFF"/>
        </a:solidFill>
        <a:ln w="9525">
          <a:solidFill>
            <a:srgbClr val="000000"/>
          </a:solidFill>
          <a:miter lim="800000"/>
        </a:ln>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517680</xdr:colOff>
      <xdr:row>94</xdr:row>
      <xdr:rowOff>174960</xdr:rowOff>
    </xdr:from>
    <xdr:to>
      <xdr:col>9</xdr:col>
      <xdr:colOff>750450</xdr:colOff>
      <xdr:row>97</xdr:row>
      <xdr:rowOff>77760</xdr:rowOff>
    </xdr:to>
    <xdr:sp macro="" textlink="">
      <xdr:nvSpPr>
        <xdr:cNvPr id="13" name="CustomShape 1"/>
        <xdr:cNvSpPr/>
      </xdr:nvSpPr>
      <xdr:spPr>
        <a:xfrm>
          <a:off x="9299575" y="21463000"/>
          <a:ext cx="2308860" cy="721995"/>
        </a:xfrm>
        <a:prstGeom prst="rect">
          <a:avLst/>
        </a:prstGeom>
        <a:noFill/>
        <a:ln w="9360">
          <a:noFill/>
        </a:ln>
      </xdr:spPr>
      <xdr:style>
        <a:lnRef idx="0">
          <a:scrgbClr r="0" g="0" b="0"/>
        </a:lnRef>
        <a:fillRef idx="0">
          <a:scrgbClr r="0" g="0" b="0"/>
        </a:fillRef>
        <a:effectRef idx="0">
          <a:scrgbClr r="0" g="0" b="0"/>
        </a:effectRef>
        <a:fontRef idx="minor"/>
      </xdr:style>
      <xdr:txBody>
        <a:bodyPr lIns="90000" tIns="45000" rIns="90000" bIns="45000"/>
        <a:lstStyle/>
        <a:p>
          <a:pPr>
            <a:lnSpc>
              <a:spcPct val="100000"/>
            </a:lnSpc>
          </a:pPr>
          <a:r>
            <a:rPr lang="pt-BR" sz="1200" b="0" strike="noStrike" spc="-1">
              <a:solidFill>
                <a:srgbClr val="FFFFFF"/>
              </a:solidFill>
              <a:latin typeface="Calibri" panose="020F0502020204030204"/>
            </a:rPr>
            <a:t>Liste aqui todos os revestimentos utilizados</a:t>
          </a:r>
          <a:endParaRPr lang="pt-BR" sz="1200" b="0" strike="noStrike" spc="-1">
            <a:latin typeface="Times New Roman" panose="02020603050405020304" pitchFamily="12"/>
          </a:endParaRPr>
        </a:p>
      </xdr:txBody>
    </xdr:sp>
    <xdr:clientData/>
  </xdr:twoCellAnchor>
  <xdr:twoCellAnchor editAs="oneCell">
    <xdr:from>
      <xdr:col>0</xdr:col>
      <xdr:colOff>0</xdr:colOff>
      <xdr:row>0</xdr:row>
      <xdr:rowOff>0</xdr:rowOff>
    </xdr:from>
    <xdr:to>
      <xdr:col>7</xdr:col>
      <xdr:colOff>747797</xdr:colOff>
      <xdr:row>42</xdr:row>
      <xdr:rowOff>161640</xdr:rowOff>
    </xdr:to>
    <xdr:sp macro="" textlink="">
      <xdr:nvSpPr>
        <xdr:cNvPr id="15" name="CustomShape 1" hidden="1"/>
        <xdr:cNvSpPr/>
      </xdr:nvSpPr>
      <xdr:spPr>
        <a:xfrm>
          <a:off x="0" y="0"/>
          <a:ext cx="952944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xdr:from>
      <xdr:col>0</xdr:col>
      <xdr:colOff>0</xdr:colOff>
      <xdr:row>0</xdr:row>
      <xdr:rowOff>0</xdr:rowOff>
    </xdr:from>
    <xdr:to>
      <xdr:col>7</xdr:col>
      <xdr:colOff>904875</xdr:colOff>
      <xdr:row>42</xdr:row>
      <xdr:rowOff>161925</xdr:rowOff>
    </xdr:to>
    <xdr:sp macro="" textlink="">
      <xdr:nvSpPr>
        <xdr:cNvPr id="5122" name="shapetype_202" hidden="1"/>
        <xdr:cNvSpPr txBox="1">
          <a:spLocks noSelect="1" noChangeArrowheads="1"/>
        </xdr:cNvSpPr>
      </xdr:nvSpPr>
      <xdr:spPr>
        <a:xfrm>
          <a:off x="0" y="0"/>
          <a:ext cx="9686925" cy="9525000"/>
        </a:xfrm>
        <a:prstGeom prst="rect">
          <a:avLst/>
        </a:prstGeom>
        <a:solidFill>
          <a:srgbClr val="FFFFFF"/>
        </a:solidFill>
        <a:ln w="9525">
          <a:solidFill>
            <a:srgbClr val="000000"/>
          </a:solidFill>
          <a:miter lim="800000"/>
        </a:ln>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361440</xdr:colOff>
      <xdr:row>46</xdr:row>
      <xdr:rowOff>28080</xdr:rowOff>
    </xdr:to>
    <xdr:sp macro="" textlink="">
      <xdr:nvSpPr>
        <xdr:cNvPr id="16" name="CustomShape 1" hidden="1"/>
        <xdr:cNvSpPr/>
      </xdr:nvSpPr>
      <xdr:spPr>
        <a:xfrm>
          <a:off x="0" y="0"/>
          <a:ext cx="9524365" cy="9552940"/>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xdr:from>
      <xdr:col>0</xdr:col>
      <xdr:colOff>0</xdr:colOff>
      <xdr:row>0</xdr:row>
      <xdr:rowOff>0</xdr:rowOff>
    </xdr:from>
    <xdr:to>
      <xdr:col>8</xdr:col>
      <xdr:colOff>361950</xdr:colOff>
      <xdr:row>46</xdr:row>
      <xdr:rowOff>28575</xdr:rowOff>
    </xdr:to>
    <xdr:sp macro="" textlink="">
      <xdr:nvSpPr>
        <xdr:cNvPr id="6146" name="shapetype_202" hidden="1"/>
        <xdr:cNvSpPr txBox="1">
          <a:spLocks noSelect="1" noChangeArrowheads="1"/>
        </xdr:cNvSpPr>
      </xdr:nvSpPr>
      <xdr:spPr>
        <a:xfrm>
          <a:off x="0" y="0"/>
          <a:ext cx="9525000" cy="9553575"/>
        </a:xfrm>
        <a:prstGeom prst="rect">
          <a:avLst/>
        </a:prstGeom>
        <a:solidFill>
          <a:srgbClr val="FFFFFF"/>
        </a:solidFill>
        <a:ln w="9525">
          <a:solidFill>
            <a:srgbClr val="000000"/>
          </a:solidFill>
          <a:miter lim="800000"/>
        </a:ln>
      </xdr:spPr>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1180800</xdr:colOff>
      <xdr:row>46</xdr:row>
      <xdr:rowOff>18720</xdr:rowOff>
    </xdr:to>
    <xdr:sp macro="" textlink="">
      <xdr:nvSpPr>
        <xdr:cNvPr id="17"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xdr:from>
      <xdr:col>0</xdr:col>
      <xdr:colOff>0</xdr:colOff>
      <xdr:row>0</xdr:row>
      <xdr:rowOff>0</xdr:rowOff>
    </xdr:from>
    <xdr:to>
      <xdr:col>9</xdr:col>
      <xdr:colOff>1181100</xdr:colOff>
      <xdr:row>46</xdr:row>
      <xdr:rowOff>19050</xdr:rowOff>
    </xdr:to>
    <xdr:sp macro="" textlink="">
      <xdr:nvSpPr>
        <xdr:cNvPr id="7170" name="shapetype_202" hidden="1"/>
        <xdr:cNvSpPr txBox="1">
          <a:spLocks noSelect="1" noChangeArrowheads="1"/>
        </xdr:cNvSpPr>
      </xdr:nvSpPr>
      <xdr:spPr>
        <a:xfrm>
          <a:off x="0" y="0"/>
          <a:ext cx="9525000" cy="9525000"/>
        </a:xfrm>
        <a:prstGeom prst="rect">
          <a:avLst/>
        </a:prstGeom>
        <a:solidFill>
          <a:srgbClr val="FFFFFF"/>
        </a:solidFill>
        <a:ln w="9525">
          <a:solidFill>
            <a:srgbClr val="000000"/>
          </a:solidFill>
          <a:miter lim="800000"/>
        </a:ln>
      </xdr:spPr>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428400</xdr:colOff>
      <xdr:row>45</xdr:row>
      <xdr:rowOff>142410</xdr:rowOff>
    </xdr:to>
    <xdr:sp macro="" textlink="">
      <xdr:nvSpPr>
        <xdr:cNvPr id="18"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7</xdr:col>
      <xdr:colOff>428400</xdr:colOff>
      <xdr:row>45</xdr:row>
      <xdr:rowOff>142410</xdr:rowOff>
    </xdr:to>
    <xdr:sp macro="" textlink="">
      <xdr:nvSpPr>
        <xdr:cNvPr id="19"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7</xdr:col>
      <xdr:colOff>428400</xdr:colOff>
      <xdr:row>45</xdr:row>
      <xdr:rowOff>142410</xdr:rowOff>
    </xdr:to>
    <xdr:sp macro="" textlink="">
      <xdr:nvSpPr>
        <xdr:cNvPr id="20"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7</xdr:col>
      <xdr:colOff>428400</xdr:colOff>
      <xdr:row>45</xdr:row>
      <xdr:rowOff>142410</xdr:rowOff>
    </xdr:to>
    <xdr:sp macro="" textlink="">
      <xdr:nvSpPr>
        <xdr:cNvPr id="21"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7</xdr:col>
      <xdr:colOff>428400</xdr:colOff>
      <xdr:row>45</xdr:row>
      <xdr:rowOff>142410</xdr:rowOff>
    </xdr:to>
    <xdr:sp macro="" textlink="">
      <xdr:nvSpPr>
        <xdr:cNvPr id="22"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editAs="oneCell">
    <xdr:from>
      <xdr:col>0</xdr:col>
      <xdr:colOff>0</xdr:colOff>
      <xdr:row>0</xdr:row>
      <xdr:rowOff>0</xdr:rowOff>
    </xdr:from>
    <xdr:to>
      <xdr:col>7</xdr:col>
      <xdr:colOff>428400</xdr:colOff>
      <xdr:row>45</xdr:row>
      <xdr:rowOff>142410</xdr:rowOff>
    </xdr:to>
    <xdr:sp macro="" textlink="">
      <xdr:nvSpPr>
        <xdr:cNvPr id="23" name="CustomShape 1" hidden="1"/>
        <xdr:cNvSpPr/>
      </xdr:nvSpPr>
      <xdr:spPr>
        <a:xfrm>
          <a:off x="0" y="0"/>
          <a:ext cx="9524365" cy="9524365"/>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sp>
    <xdr:clientData/>
  </xdr:twoCellAnchor>
  <xdr:twoCellAnchor>
    <xdr:from>
      <xdr:col>0</xdr:col>
      <xdr:colOff>0</xdr:colOff>
      <xdr:row>0</xdr:row>
      <xdr:rowOff>0</xdr:rowOff>
    </xdr:from>
    <xdr:to>
      <xdr:col>7</xdr:col>
      <xdr:colOff>428625</xdr:colOff>
      <xdr:row>40</xdr:row>
      <xdr:rowOff>47625</xdr:rowOff>
    </xdr:to>
    <xdr:sp macro="" textlink="">
      <xdr:nvSpPr>
        <xdr:cNvPr id="8204" name="shapetype_202" hidden="1"/>
        <xdr:cNvSpPr txBox="1">
          <a:spLocks noSelect="1" noChangeArrowheads="1"/>
        </xdr:cNvSpPr>
      </xdr:nvSpPr>
      <xdr:spPr>
        <a:xfrm>
          <a:off x="0" y="0"/>
          <a:ext cx="9525000" cy="8334375"/>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7</xdr:col>
      <xdr:colOff>428625</xdr:colOff>
      <xdr:row>40</xdr:row>
      <xdr:rowOff>47625</xdr:rowOff>
    </xdr:to>
    <xdr:sp macro="" textlink="">
      <xdr:nvSpPr>
        <xdr:cNvPr id="8202" name="shapetype_202" hidden="1"/>
        <xdr:cNvSpPr txBox="1">
          <a:spLocks noSelect="1" noChangeArrowheads="1"/>
        </xdr:cNvSpPr>
      </xdr:nvSpPr>
      <xdr:spPr>
        <a:xfrm>
          <a:off x="0" y="0"/>
          <a:ext cx="9525000" cy="8334375"/>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7</xdr:col>
      <xdr:colOff>428625</xdr:colOff>
      <xdr:row>40</xdr:row>
      <xdr:rowOff>47625</xdr:rowOff>
    </xdr:to>
    <xdr:sp macro="" textlink="">
      <xdr:nvSpPr>
        <xdr:cNvPr id="8200" name="shapetype_202" hidden="1"/>
        <xdr:cNvSpPr txBox="1">
          <a:spLocks noSelect="1" noChangeArrowheads="1"/>
        </xdr:cNvSpPr>
      </xdr:nvSpPr>
      <xdr:spPr>
        <a:xfrm>
          <a:off x="0" y="0"/>
          <a:ext cx="9525000" cy="8334375"/>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7</xdr:col>
      <xdr:colOff>428625</xdr:colOff>
      <xdr:row>40</xdr:row>
      <xdr:rowOff>47625</xdr:rowOff>
    </xdr:to>
    <xdr:sp macro="" textlink="">
      <xdr:nvSpPr>
        <xdr:cNvPr id="8198" name="shapetype_202" hidden="1"/>
        <xdr:cNvSpPr txBox="1">
          <a:spLocks noSelect="1" noChangeArrowheads="1"/>
        </xdr:cNvSpPr>
      </xdr:nvSpPr>
      <xdr:spPr>
        <a:xfrm>
          <a:off x="0" y="0"/>
          <a:ext cx="9525000" cy="8334375"/>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7</xdr:col>
      <xdr:colOff>428625</xdr:colOff>
      <xdr:row>40</xdr:row>
      <xdr:rowOff>47625</xdr:rowOff>
    </xdr:to>
    <xdr:sp macro="" textlink="">
      <xdr:nvSpPr>
        <xdr:cNvPr id="8196" name="shapetype_202" hidden="1"/>
        <xdr:cNvSpPr txBox="1">
          <a:spLocks noSelect="1" noChangeArrowheads="1"/>
        </xdr:cNvSpPr>
      </xdr:nvSpPr>
      <xdr:spPr>
        <a:xfrm>
          <a:off x="0" y="0"/>
          <a:ext cx="9525000" cy="8334375"/>
        </a:xfrm>
        <a:prstGeom prst="rect">
          <a:avLst/>
        </a:prstGeom>
        <a:solidFill>
          <a:srgbClr val="FFFFFF"/>
        </a:solidFill>
        <a:ln w="9525">
          <a:solidFill>
            <a:srgbClr val="000000"/>
          </a:solidFill>
          <a:miter lim="800000"/>
        </a:ln>
      </xdr:spPr>
    </xdr:sp>
    <xdr:clientData/>
  </xdr:twoCellAnchor>
  <xdr:twoCellAnchor>
    <xdr:from>
      <xdr:col>0</xdr:col>
      <xdr:colOff>0</xdr:colOff>
      <xdr:row>0</xdr:row>
      <xdr:rowOff>0</xdr:rowOff>
    </xdr:from>
    <xdr:to>
      <xdr:col>7</xdr:col>
      <xdr:colOff>428625</xdr:colOff>
      <xdr:row>40</xdr:row>
      <xdr:rowOff>47625</xdr:rowOff>
    </xdr:to>
    <xdr:sp macro="" textlink="">
      <xdr:nvSpPr>
        <xdr:cNvPr id="8194" name="shapetype_202" hidden="1"/>
        <xdr:cNvSpPr txBox="1">
          <a:spLocks noSelect="1" noChangeArrowheads="1"/>
        </xdr:cNvSpPr>
      </xdr:nvSpPr>
      <xdr:spPr>
        <a:xfrm>
          <a:off x="0" y="0"/>
          <a:ext cx="9525000" cy="8334375"/>
        </a:xfrm>
        <a:prstGeom prst="rect">
          <a:avLst/>
        </a:prstGeom>
        <a:solidFill>
          <a:srgbClr val="FFFFFF"/>
        </a:solidFill>
        <a:ln w="9525">
          <a:solidFill>
            <a:srgbClr val="000000"/>
          </a:solidFill>
          <a:miter lim="800000"/>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OS\emanuel.vieira\Documents\Emanuel\Emanuel\trabalhos\med%20pra&#231;a%20cel\modelo%20caixa\BM_caixav2_04a%20desbloquead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halita.pereira.GUARAPARI/Desktop/TIAGO/QUIOSQUES%20FEIRA%20DO%20PRODUTOR/QUIOSQUES%20DO%20PRODUTOR%20RURAL%20REV%2002%20-%20C&#243;p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e Medição"/>
      <sheetName val="RESUMO"/>
      <sheetName val="PRICE"/>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Cronograma Fís-Financ"/>
      <sheetName val="Composições"/>
      <sheetName val="MEM.CAL"/>
    </sheetNames>
    <sheetDataSet>
      <sheetData sheetId="0">
        <row r="21">
          <cell r="C21" t="str">
            <v>SERVIÇOS PRELIMINARES</v>
          </cell>
        </row>
        <row r="35">
          <cell r="C35" t="str">
            <v>MOVIMENTO DE TERRA</v>
          </cell>
        </row>
        <row r="43">
          <cell r="C43" t="str">
            <v>ESTRUTURAS</v>
          </cell>
        </row>
        <row r="52">
          <cell r="C52" t="str">
            <v>PAREDES E PAINÉIS</v>
          </cell>
        </row>
        <row r="57">
          <cell r="C57" t="str">
            <v>ESQUADRIAS METÁLICAS</v>
          </cell>
        </row>
        <row r="63">
          <cell r="C63" t="str">
            <v>VIDROS E ESPELHOS</v>
          </cell>
        </row>
        <row r="65">
          <cell r="C65" t="str">
            <v>COBERTURA</v>
          </cell>
        </row>
        <row r="74">
          <cell r="C74" t="str">
            <v>IMPERMEABILIZAÇÃO</v>
          </cell>
        </row>
        <row r="77">
          <cell r="C77" t="str">
            <v>TETOS E FORROS</v>
          </cell>
        </row>
        <row r="195">
          <cell r="C195" t="str">
            <v>ADMINISTRAÇÃO LOCAL</v>
          </cell>
        </row>
      </sheetData>
      <sheetData sheetId="1"/>
      <sheetData sheetId="2"/>
      <sheetData sheetId="3"/>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3.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9.bin"/><Relationship Id="rId4" Type="http://schemas.openxmlformats.org/officeDocument/2006/relationships/comments" Target="../comments4.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10.bin"/><Relationship Id="rId4" Type="http://schemas.openxmlformats.org/officeDocument/2006/relationships/comments" Target="../comments5.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M440"/>
  <sheetViews>
    <sheetView showGridLines="0" view="pageBreakPreview" topLeftCell="B25" zoomScale="80" zoomScaleNormal="80" zoomScaleSheetLayoutView="80" workbookViewId="0">
      <selection activeCell="H431" sqref="H431"/>
    </sheetView>
  </sheetViews>
  <sheetFormatPr defaultColWidth="9" defaultRowHeight="15" outlineLevelRow="1"/>
  <cols>
    <col min="1" max="1" width="1.5703125" style="836" hidden="1" customWidth="1"/>
    <col min="2" max="2" width="14.5703125" style="836" customWidth="1"/>
    <col min="3" max="3" width="21.85546875" style="836" customWidth="1"/>
    <col min="4" max="4" width="91.42578125" style="837" customWidth="1"/>
    <col min="5" max="5" width="8.7109375" style="836" customWidth="1"/>
    <col min="6" max="6" width="14.42578125" style="838" customWidth="1"/>
    <col min="7" max="7" width="20.85546875" style="839" customWidth="1"/>
    <col min="8" max="8" width="25.5703125" style="840" customWidth="1"/>
    <col min="9" max="9" width="10.42578125" style="836" customWidth="1"/>
    <col min="10" max="10" width="16.7109375" style="841" customWidth="1"/>
    <col min="11" max="11" width="17.140625" style="842" customWidth="1"/>
    <col min="12" max="1026" width="9.140625" style="843" customWidth="1"/>
  </cols>
  <sheetData>
    <row r="1" spans="1:1026" ht="9.75" customHeight="1">
      <c r="A1" s="844"/>
      <c r="B1" s="844"/>
      <c r="C1" s="844"/>
      <c r="D1" s="845"/>
      <c r="E1" s="844"/>
      <c r="F1" s="846"/>
      <c r="G1" s="847"/>
      <c r="H1" s="848"/>
      <c r="I1" s="844"/>
    </row>
    <row r="2" spans="1:1026" ht="15.75">
      <c r="A2" s="844"/>
      <c r="B2" s="849"/>
      <c r="C2" s="850"/>
      <c r="D2" s="851"/>
      <c r="E2" s="850"/>
      <c r="F2" s="852"/>
      <c r="G2" s="853"/>
      <c r="H2" s="854"/>
      <c r="I2" s="844"/>
    </row>
    <row r="3" spans="1:1026" ht="15.75">
      <c r="A3" s="844"/>
      <c r="B3" s="855"/>
      <c r="C3" s="844"/>
      <c r="D3" s="845"/>
      <c r="E3" s="844"/>
      <c r="F3" s="846"/>
      <c r="G3" s="847"/>
      <c r="H3" s="856"/>
      <c r="I3" s="844"/>
    </row>
    <row r="4" spans="1:1026" ht="15.75">
      <c r="A4" s="844"/>
      <c r="B4" s="855"/>
      <c r="C4" s="844"/>
      <c r="D4" s="845"/>
      <c r="E4" s="844"/>
      <c r="F4" s="846"/>
      <c r="G4" s="847"/>
      <c r="H4" s="856"/>
      <c r="I4" s="844"/>
    </row>
    <row r="5" spans="1:1026" ht="15.75">
      <c r="A5" s="844"/>
      <c r="B5" s="855"/>
      <c r="C5" s="844"/>
      <c r="D5" s="845"/>
      <c r="E5" s="844"/>
      <c r="F5" s="846"/>
      <c r="G5" s="847"/>
      <c r="H5" s="856"/>
      <c r="I5" s="844"/>
    </row>
    <row r="6" spans="1:1026" ht="15.75">
      <c r="A6" s="844"/>
      <c r="B6" s="855"/>
      <c r="C6" s="844"/>
      <c r="D6" s="845"/>
      <c r="E6" s="844"/>
      <c r="F6" s="846"/>
      <c r="G6" s="847"/>
      <c r="H6" s="856"/>
      <c r="I6" s="844"/>
    </row>
    <row r="7" spans="1:1026" ht="15.75">
      <c r="A7" s="844"/>
      <c r="B7" s="855"/>
      <c r="C7" s="844"/>
      <c r="D7" s="845"/>
      <c r="E7" s="844"/>
      <c r="F7" s="846"/>
      <c r="G7" s="847"/>
      <c r="H7" s="856"/>
      <c r="I7" s="844"/>
    </row>
    <row r="8" spans="1:1026" ht="12.75" customHeight="1">
      <c r="A8" s="857"/>
      <c r="B8" s="1044" t="s">
        <v>0</v>
      </c>
      <c r="C8" s="1045"/>
      <c r="D8" s="1045"/>
      <c r="E8" s="1045"/>
      <c r="F8" s="1045"/>
      <c r="G8" s="1045"/>
      <c r="H8" s="1046"/>
      <c r="I8" s="857"/>
      <c r="J8" s="909"/>
      <c r="K8" s="910"/>
      <c r="L8" s="911"/>
    </row>
    <row r="9" spans="1:1026" ht="14.25" customHeight="1">
      <c r="A9" s="857"/>
      <c r="B9" s="1047" t="s">
        <v>1</v>
      </c>
      <c r="C9" s="1048"/>
      <c r="D9" s="1048"/>
      <c r="E9" s="1048"/>
      <c r="F9" s="1048"/>
      <c r="G9" s="1048"/>
      <c r="H9" s="1049"/>
      <c r="I9" s="857"/>
      <c r="J9" s="912"/>
      <c r="K9" s="913"/>
      <c r="L9" s="914"/>
    </row>
    <row r="10" spans="1:1026" ht="14.25" customHeight="1">
      <c r="A10" s="857"/>
      <c r="B10" s="859"/>
      <c r="C10" s="860"/>
      <c r="D10" s="860"/>
      <c r="E10" s="860"/>
      <c r="F10" s="860"/>
      <c r="G10" s="860"/>
      <c r="H10" s="861"/>
      <c r="I10" s="857"/>
      <c r="J10" s="912"/>
      <c r="K10" s="913"/>
      <c r="L10" s="914"/>
    </row>
    <row r="11" spans="1:1026" ht="14.25" customHeight="1">
      <c r="A11" s="857"/>
      <c r="B11" s="858"/>
      <c r="C11" s="858"/>
      <c r="D11" s="858"/>
      <c r="E11" s="858"/>
      <c r="F11" s="858"/>
      <c r="G11" s="858"/>
      <c r="H11" s="858"/>
      <c r="I11" s="857"/>
      <c r="J11" s="912"/>
      <c r="K11" s="913"/>
      <c r="L11" s="914"/>
    </row>
    <row r="12" spans="1:1026" ht="29.25" customHeight="1">
      <c r="A12" s="857"/>
      <c r="B12" s="862" t="s">
        <v>2</v>
      </c>
      <c r="C12" s="1050" t="s">
        <v>3</v>
      </c>
      <c r="D12" s="1050"/>
      <c r="E12" s="1050"/>
      <c r="F12" s="1050"/>
      <c r="G12" s="863" t="s">
        <v>4</v>
      </c>
      <c r="H12" s="863" t="s">
        <v>5</v>
      </c>
      <c r="I12" s="857"/>
      <c r="J12" s="912"/>
      <c r="K12" s="913"/>
      <c r="L12" s="914"/>
    </row>
    <row r="13" spans="1:1026" ht="27.75" customHeight="1">
      <c r="A13" s="857"/>
      <c r="B13" s="862" t="s">
        <v>6</v>
      </c>
      <c r="C13" s="1050" t="s">
        <v>7</v>
      </c>
      <c r="D13" s="1050"/>
      <c r="E13" s="1050"/>
      <c r="F13" s="1050"/>
      <c r="G13" s="863" t="s">
        <v>8</v>
      </c>
      <c r="H13" s="864">
        <v>44314</v>
      </c>
      <c r="I13" s="857"/>
      <c r="J13" s="912"/>
      <c r="K13" s="913"/>
      <c r="L13" s="914"/>
    </row>
    <row r="14" spans="1:1026" ht="44.25" customHeight="1">
      <c r="A14" s="857"/>
      <c r="B14" s="865" t="s">
        <v>9</v>
      </c>
      <c r="C14" s="1051" t="s">
        <v>10</v>
      </c>
      <c r="D14" s="1051"/>
      <c r="E14" s="1051"/>
      <c r="F14" s="1051"/>
      <c r="G14" s="863" t="s">
        <v>11</v>
      </c>
      <c r="H14" s="866">
        <v>0.2661</v>
      </c>
      <c r="I14" s="857"/>
      <c r="J14" s="912"/>
      <c r="K14" s="913"/>
      <c r="L14" s="914"/>
    </row>
    <row r="15" spans="1:1026" ht="14.25" customHeight="1">
      <c r="A15" s="857"/>
      <c r="B15" s="858"/>
      <c r="C15" s="858"/>
      <c r="D15" s="858"/>
      <c r="E15" s="858"/>
      <c r="F15" s="858"/>
      <c r="G15" s="858"/>
      <c r="H15" s="858"/>
      <c r="I15" s="857"/>
      <c r="J15" s="912"/>
      <c r="K15" s="913"/>
      <c r="L15" s="914"/>
    </row>
    <row r="16" spans="1:1026" ht="36.75" customHeight="1">
      <c r="A16"/>
      <c r="B16" s="1052" t="s">
        <v>12</v>
      </c>
      <c r="C16" s="1052"/>
      <c r="D16" s="1052"/>
      <c r="E16" s="1052"/>
      <c r="F16" s="1052"/>
      <c r="G16" s="1052"/>
      <c r="H16" s="1052"/>
      <c r="I16"/>
      <c r="J16" s="382"/>
      <c r="K16" s="403"/>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row>
    <row r="17" spans="1:1026" ht="14.25" customHeight="1">
      <c r="A17" s="857"/>
      <c r="B17" s="858"/>
      <c r="C17" s="858"/>
      <c r="D17" s="858"/>
      <c r="E17" s="858"/>
      <c r="F17" s="858"/>
      <c r="G17" s="858"/>
      <c r="H17" s="858"/>
      <c r="I17" s="857"/>
      <c r="J17" s="912"/>
      <c r="K17" s="913"/>
      <c r="L17" s="914"/>
    </row>
    <row r="18" spans="1:1026" ht="39.75" customHeight="1">
      <c r="A18" s="845"/>
      <c r="B18" s="867" t="s">
        <v>13</v>
      </c>
      <c r="C18" s="868" t="s">
        <v>14</v>
      </c>
      <c r="D18" s="868" t="s">
        <v>15</v>
      </c>
      <c r="E18" s="869" t="s">
        <v>16</v>
      </c>
      <c r="F18" s="870" t="s">
        <v>17</v>
      </c>
      <c r="G18" s="871" t="s">
        <v>18</v>
      </c>
      <c r="H18" s="872" t="s">
        <v>19</v>
      </c>
      <c r="I18" s="845"/>
    </row>
    <row r="19" spans="1:1026" ht="20.100000000000001" customHeight="1">
      <c r="A19" s="844"/>
      <c r="B19" s="844"/>
      <c r="C19" s="844"/>
      <c r="D19" s="873"/>
      <c r="E19" s="844"/>
      <c r="F19" s="846"/>
      <c r="G19" s="847"/>
      <c r="H19" s="874"/>
      <c r="I19" s="844"/>
    </row>
    <row r="20" spans="1:1026" ht="24.95" customHeight="1">
      <c r="A20" s="844"/>
      <c r="B20" s="875">
        <v>1</v>
      </c>
      <c r="C20" s="875" t="s">
        <v>20</v>
      </c>
      <c r="D20" s="447" t="s">
        <v>21</v>
      </c>
      <c r="E20" s="875"/>
      <c r="F20" s="876"/>
      <c r="G20" s="877"/>
      <c r="H20" s="878"/>
      <c r="I20" s="844"/>
      <c r="J20" s="841" t="s">
        <v>22</v>
      </c>
      <c r="K20" s="842" t="s">
        <v>23</v>
      </c>
    </row>
    <row r="21" spans="1:1026" ht="24.95" customHeight="1">
      <c r="A21" s="844"/>
      <c r="B21" s="444" t="s">
        <v>24</v>
      </c>
      <c r="C21" s="879" t="s">
        <v>25</v>
      </c>
      <c r="D21" s="880" t="s">
        <v>26</v>
      </c>
      <c r="E21" s="444" t="s">
        <v>27</v>
      </c>
      <c r="F21" s="881">
        <v>2256.48</v>
      </c>
      <c r="G21" s="882">
        <f>K21</f>
        <v>4.1500000000000004</v>
      </c>
      <c r="H21" s="883">
        <f>G21*F21</f>
        <v>9364.3920000000016</v>
      </c>
      <c r="I21" s="844"/>
      <c r="J21" s="841">
        <v>3.28</v>
      </c>
      <c r="K21" s="842">
        <f>ROUND(J21*(1+$H$14),2)</f>
        <v>4.1500000000000004</v>
      </c>
    </row>
    <row r="22" spans="1:1026" ht="24.95" customHeight="1">
      <c r="A22" s="844"/>
      <c r="B22" s="444" t="s">
        <v>28</v>
      </c>
      <c r="C22" s="879" t="s">
        <v>29</v>
      </c>
      <c r="D22" s="880" t="s">
        <v>30</v>
      </c>
      <c r="E22" s="444" t="s">
        <v>27</v>
      </c>
      <c r="F22" s="881">
        <v>1104.98</v>
      </c>
      <c r="G22" s="882">
        <f>K22</f>
        <v>9.5500000000000007</v>
      </c>
      <c r="H22" s="883">
        <f>G22*F22</f>
        <v>10552.559000000001</v>
      </c>
      <c r="I22" s="844"/>
      <c r="J22" s="841">
        <v>7.54</v>
      </c>
      <c r="K22" s="842">
        <f>ROUND(J22*(1+$H$14),2)</f>
        <v>9.5500000000000007</v>
      </c>
    </row>
    <row r="23" spans="1:1026" ht="24.95" customHeight="1">
      <c r="A23" s="844"/>
      <c r="B23" s="875">
        <v>2</v>
      </c>
      <c r="C23" s="875"/>
      <c r="D23" s="447" t="s">
        <v>31</v>
      </c>
      <c r="E23" s="875"/>
      <c r="F23" s="884"/>
      <c r="G23" s="877"/>
      <c r="H23" s="878"/>
      <c r="I23" s="844"/>
    </row>
    <row r="24" spans="1:1026" s="388" customFormat="1" ht="24.95" customHeight="1" outlineLevel="1">
      <c r="A24" s="885"/>
      <c r="B24" s="449" t="s">
        <v>32</v>
      </c>
      <c r="C24" s="886" t="s">
        <v>33</v>
      </c>
      <c r="D24" s="451" t="s">
        <v>34</v>
      </c>
      <c r="E24" s="449" t="s">
        <v>27</v>
      </c>
      <c r="F24" s="887">
        <f>2*4</f>
        <v>8</v>
      </c>
      <c r="G24" s="888">
        <f>K24</f>
        <v>307.08999999999997</v>
      </c>
      <c r="H24" s="889">
        <f>F24*G24</f>
        <v>2456.7199999999998</v>
      </c>
      <c r="I24" s="885"/>
      <c r="J24" s="915">
        <v>242.55</v>
      </c>
      <c r="K24" s="916">
        <f>ROUND(J24*(1+$H$14),2)</f>
        <v>307.08999999999997</v>
      </c>
      <c r="L24" s="832"/>
      <c r="M24" s="832"/>
      <c r="N24" s="832"/>
      <c r="O24" s="832"/>
      <c r="P24" s="832"/>
      <c r="Q24" s="832"/>
      <c r="R24" s="832"/>
      <c r="S24" s="832"/>
      <c r="T24" s="832"/>
      <c r="U24" s="832"/>
      <c r="V24" s="832"/>
      <c r="W24" s="832"/>
      <c r="X24" s="832"/>
      <c r="Y24" s="832"/>
      <c r="Z24" s="832"/>
      <c r="AA24" s="832"/>
      <c r="AB24" s="832"/>
      <c r="AC24" s="832"/>
      <c r="AD24" s="832"/>
      <c r="AE24" s="832"/>
      <c r="AF24" s="832"/>
      <c r="AG24" s="832"/>
      <c r="AH24" s="832"/>
      <c r="AI24" s="832"/>
      <c r="AJ24" s="832"/>
      <c r="AK24" s="832"/>
      <c r="AL24" s="832"/>
      <c r="AM24" s="832"/>
      <c r="AN24" s="832"/>
      <c r="AO24" s="832"/>
      <c r="AP24" s="832"/>
      <c r="AQ24" s="832"/>
      <c r="AR24" s="832"/>
      <c r="AS24" s="832"/>
      <c r="AT24" s="832"/>
      <c r="AU24" s="832"/>
      <c r="AV24" s="832"/>
      <c r="AW24" s="832"/>
      <c r="AX24" s="832"/>
      <c r="AY24" s="832"/>
      <c r="AZ24" s="832"/>
      <c r="BA24" s="832"/>
      <c r="BB24" s="832"/>
      <c r="BC24" s="832"/>
      <c r="BD24" s="832"/>
      <c r="BE24" s="832"/>
      <c r="BF24" s="832"/>
      <c r="BG24" s="832"/>
      <c r="BH24" s="832"/>
      <c r="BI24" s="832"/>
      <c r="BJ24" s="832"/>
      <c r="BK24" s="832"/>
      <c r="BL24" s="832"/>
      <c r="BM24" s="832"/>
      <c r="BN24" s="832"/>
      <c r="BO24" s="832"/>
      <c r="BP24" s="832"/>
      <c r="BQ24" s="832"/>
      <c r="BR24" s="832"/>
      <c r="BS24" s="832"/>
      <c r="BT24" s="832"/>
      <c r="BU24" s="832"/>
      <c r="BV24" s="832"/>
      <c r="BW24" s="832"/>
      <c r="BX24" s="832"/>
      <c r="BY24" s="832"/>
      <c r="BZ24" s="832"/>
      <c r="CA24" s="832"/>
      <c r="CB24" s="832"/>
      <c r="CC24" s="832"/>
      <c r="CD24" s="832"/>
      <c r="CE24" s="832"/>
      <c r="CF24" s="832"/>
      <c r="CG24" s="832"/>
      <c r="CH24" s="832"/>
      <c r="CI24" s="832"/>
      <c r="CJ24" s="832"/>
      <c r="CK24" s="832"/>
      <c r="CL24" s="832"/>
      <c r="CM24" s="832"/>
      <c r="CN24" s="832"/>
      <c r="CO24" s="832"/>
      <c r="CP24" s="832"/>
      <c r="CQ24" s="832"/>
      <c r="CR24" s="832"/>
      <c r="CS24" s="832"/>
      <c r="CT24" s="832"/>
      <c r="CU24" s="832"/>
      <c r="CV24" s="832"/>
      <c r="CW24" s="832"/>
      <c r="CX24" s="832"/>
      <c r="CY24" s="832"/>
      <c r="CZ24" s="832"/>
      <c r="DA24" s="832"/>
      <c r="DB24" s="832"/>
      <c r="DC24" s="832"/>
      <c r="DD24" s="832"/>
      <c r="DE24" s="832"/>
      <c r="DF24" s="832"/>
      <c r="DG24" s="832"/>
      <c r="DH24" s="832"/>
      <c r="DI24" s="832"/>
      <c r="DJ24" s="832"/>
      <c r="DK24" s="832"/>
      <c r="DL24" s="832"/>
      <c r="DM24" s="832"/>
      <c r="DN24" s="832"/>
      <c r="DO24" s="832"/>
      <c r="DP24" s="832"/>
      <c r="DQ24" s="832"/>
      <c r="DR24" s="832"/>
      <c r="DS24" s="832"/>
      <c r="DT24" s="832"/>
      <c r="DU24" s="832"/>
      <c r="DV24" s="832"/>
      <c r="DW24" s="832"/>
      <c r="DX24" s="832"/>
      <c r="DY24" s="832"/>
      <c r="DZ24" s="832"/>
      <c r="EA24" s="832"/>
      <c r="EB24" s="832"/>
      <c r="EC24" s="832"/>
      <c r="ED24" s="832"/>
      <c r="EE24" s="832"/>
      <c r="EF24" s="832"/>
      <c r="EG24" s="832"/>
      <c r="EH24" s="832"/>
      <c r="EI24" s="832"/>
      <c r="EJ24" s="832"/>
      <c r="EK24" s="832"/>
      <c r="EL24" s="832"/>
      <c r="EM24" s="832"/>
      <c r="EN24" s="832"/>
      <c r="EO24" s="832"/>
      <c r="EP24" s="832"/>
      <c r="EQ24" s="832"/>
      <c r="ER24" s="832"/>
      <c r="ES24" s="832"/>
      <c r="ET24" s="832"/>
      <c r="EU24" s="832"/>
      <c r="EV24" s="832"/>
      <c r="EW24" s="832"/>
      <c r="EX24" s="832"/>
      <c r="EY24" s="832"/>
      <c r="EZ24" s="832"/>
      <c r="FA24" s="832"/>
      <c r="FB24" s="832"/>
      <c r="FC24" s="832"/>
      <c r="FD24" s="832"/>
      <c r="FE24" s="832"/>
      <c r="FF24" s="832"/>
      <c r="FG24" s="832"/>
      <c r="FH24" s="832"/>
      <c r="FI24" s="832"/>
      <c r="FJ24" s="832"/>
      <c r="FK24" s="832"/>
      <c r="FL24" s="832"/>
      <c r="FM24" s="832"/>
      <c r="FN24" s="832"/>
      <c r="FO24" s="832"/>
      <c r="FP24" s="832"/>
      <c r="FQ24" s="832"/>
      <c r="FR24" s="832"/>
      <c r="FS24" s="832"/>
      <c r="FT24" s="832"/>
      <c r="FU24" s="832"/>
      <c r="FV24" s="832"/>
      <c r="FW24" s="832"/>
      <c r="FX24" s="832"/>
      <c r="FY24" s="832"/>
      <c r="FZ24" s="832"/>
      <c r="GA24" s="832"/>
      <c r="GB24" s="832"/>
      <c r="GC24" s="832"/>
      <c r="GD24" s="832"/>
      <c r="GE24" s="832"/>
      <c r="GF24" s="832"/>
      <c r="GG24" s="832"/>
      <c r="GH24" s="832"/>
      <c r="GI24" s="832"/>
      <c r="GJ24" s="832"/>
      <c r="GK24" s="832"/>
      <c r="GL24" s="832"/>
      <c r="GM24" s="832"/>
      <c r="GN24" s="832"/>
      <c r="GO24" s="832"/>
      <c r="GP24" s="832"/>
      <c r="GQ24" s="832"/>
      <c r="GR24" s="832"/>
      <c r="GS24" s="832"/>
      <c r="GT24" s="832"/>
      <c r="GU24" s="832"/>
      <c r="GV24" s="832"/>
      <c r="GW24" s="832"/>
      <c r="GX24" s="832"/>
      <c r="GY24" s="832"/>
      <c r="GZ24" s="832"/>
      <c r="HA24" s="832"/>
      <c r="HB24" s="832"/>
      <c r="HC24" s="832"/>
      <c r="HD24" s="832"/>
      <c r="HE24" s="832"/>
      <c r="HF24" s="832"/>
      <c r="HG24" s="832"/>
      <c r="HH24" s="832"/>
      <c r="HI24" s="832"/>
      <c r="HJ24" s="832"/>
      <c r="HK24" s="832"/>
      <c r="HL24" s="832"/>
      <c r="HM24" s="832"/>
      <c r="HN24" s="832"/>
      <c r="HO24" s="832"/>
      <c r="HP24" s="832"/>
      <c r="HQ24" s="832"/>
      <c r="HR24" s="832"/>
      <c r="HS24" s="832"/>
      <c r="HT24" s="832"/>
      <c r="HU24" s="832"/>
      <c r="HV24" s="832"/>
      <c r="HW24" s="832"/>
      <c r="HX24" s="832"/>
      <c r="HY24" s="832"/>
      <c r="HZ24" s="832"/>
      <c r="IA24" s="832"/>
      <c r="IB24" s="832"/>
      <c r="IC24" s="832"/>
      <c r="ID24" s="832"/>
      <c r="IE24" s="832"/>
      <c r="IF24" s="832"/>
      <c r="IG24" s="832"/>
      <c r="IH24" s="832"/>
      <c r="II24" s="832"/>
      <c r="IJ24" s="832"/>
      <c r="IK24" s="832"/>
      <c r="IL24" s="832"/>
      <c r="IM24" s="832"/>
      <c r="IN24" s="832"/>
      <c r="IO24" s="832"/>
      <c r="IP24" s="832"/>
      <c r="IQ24" s="832"/>
      <c r="IR24" s="832"/>
      <c r="IS24" s="832"/>
      <c r="IT24" s="832"/>
      <c r="IU24" s="832"/>
      <c r="IV24" s="832"/>
      <c r="IW24" s="832"/>
      <c r="IX24" s="832"/>
      <c r="IY24" s="832"/>
      <c r="IZ24" s="832"/>
      <c r="JA24" s="832"/>
      <c r="JB24" s="832"/>
      <c r="JC24" s="832"/>
      <c r="JD24" s="832"/>
      <c r="JE24" s="832"/>
      <c r="JF24" s="832"/>
      <c r="JG24" s="832"/>
      <c r="JH24" s="832"/>
      <c r="JI24" s="832"/>
      <c r="JJ24" s="832"/>
      <c r="JK24" s="832"/>
      <c r="JL24" s="832"/>
      <c r="JM24" s="832"/>
      <c r="JN24" s="832"/>
      <c r="JO24" s="832"/>
      <c r="JP24" s="832"/>
      <c r="JQ24" s="832"/>
      <c r="JR24" s="832"/>
      <c r="JS24" s="832"/>
      <c r="JT24" s="832"/>
      <c r="JU24" s="832"/>
      <c r="JV24" s="832"/>
      <c r="JW24" s="832"/>
      <c r="JX24" s="832"/>
      <c r="JY24" s="832"/>
      <c r="JZ24" s="832"/>
      <c r="KA24" s="832"/>
      <c r="KB24" s="832"/>
      <c r="KC24" s="832"/>
      <c r="KD24" s="832"/>
      <c r="KE24" s="832"/>
      <c r="KF24" s="832"/>
      <c r="KG24" s="832"/>
      <c r="KH24" s="832"/>
      <c r="KI24" s="832"/>
      <c r="KJ24" s="832"/>
      <c r="KK24" s="832"/>
      <c r="KL24" s="832"/>
      <c r="KM24" s="832"/>
      <c r="KN24" s="832"/>
      <c r="KO24" s="832"/>
      <c r="KP24" s="832"/>
      <c r="KQ24" s="832"/>
      <c r="KR24" s="832"/>
      <c r="KS24" s="832"/>
      <c r="KT24" s="832"/>
      <c r="KU24" s="832"/>
      <c r="KV24" s="832"/>
      <c r="KW24" s="832"/>
      <c r="KX24" s="832"/>
      <c r="KY24" s="832"/>
      <c r="KZ24" s="832"/>
      <c r="LA24" s="832"/>
      <c r="LB24" s="832"/>
      <c r="LC24" s="832"/>
      <c r="LD24" s="832"/>
      <c r="LE24" s="832"/>
      <c r="LF24" s="832"/>
      <c r="LG24" s="832"/>
      <c r="LH24" s="832"/>
      <c r="LI24" s="832"/>
      <c r="LJ24" s="832"/>
      <c r="LK24" s="832"/>
      <c r="LL24" s="832"/>
      <c r="LM24" s="832"/>
      <c r="LN24" s="832"/>
      <c r="LO24" s="832"/>
      <c r="LP24" s="832"/>
      <c r="LQ24" s="832"/>
      <c r="LR24" s="832"/>
      <c r="LS24" s="832"/>
      <c r="LT24" s="832"/>
      <c r="LU24" s="832"/>
      <c r="LV24" s="832"/>
      <c r="LW24" s="832"/>
      <c r="LX24" s="832"/>
      <c r="LY24" s="832"/>
      <c r="LZ24" s="832"/>
      <c r="MA24" s="832"/>
      <c r="MB24" s="832"/>
      <c r="MC24" s="832"/>
      <c r="MD24" s="832"/>
      <c r="ME24" s="832"/>
      <c r="MF24" s="832"/>
      <c r="MG24" s="832"/>
      <c r="MH24" s="832"/>
      <c r="MI24" s="832"/>
      <c r="MJ24" s="832"/>
      <c r="MK24" s="832"/>
      <c r="ML24" s="832"/>
      <c r="MM24" s="832"/>
      <c r="MN24" s="832"/>
      <c r="MO24" s="832"/>
      <c r="MP24" s="832"/>
      <c r="MQ24" s="832"/>
      <c r="MR24" s="832"/>
      <c r="MS24" s="832"/>
      <c r="MT24" s="832"/>
      <c r="MU24" s="832"/>
      <c r="MV24" s="832"/>
      <c r="MW24" s="832"/>
      <c r="MX24" s="832"/>
      <c r="MY24" s="832"/>
      <c r="MZ24" s="832"/>
      <c r="NA24" s="832"/>
      <c r="NB24" s="832"/>
      <c r="NC24" s="832"/>
      <c r="ND24" s="832"/>
      <c r="NE24" s="832"/>
      <c r="NF24" s="832"/>
      <c r="NG24" s="832"/>
      <c r="NH24" s="832"/>
      <c r="NI24" s="832"/>
      <c r="NJ24" s="832"/>
      <c r="NK24" s="832"/>
      <c r="NL24" s="832"/>
      <c r="NM24" s="832"/>
      <c r="NN24" s="832"/>
      <c r="NO24" s="832"/>
      <c r="NP24" s="832"/>
      <c r="NQ24" s="832"/>
      <c r="NR24" s="832"/>
      <c r="NS24" s="832"/>
      <c r="NT24" s="832"/>
      <c r="NU24" s="832"/>
      <c r="NV24" s="832"/>
      <c r="NW24" s="832"/>
      <c r="NX24" s="832"/>
      <c r="NY24" s="832"/>
      <c r="NZ24" s="832"/>
      <c r="OA24" s="832"/>
      <c r="OB24" s="832"/>
      <c r="OC24" s="832"/>
      <c r="OD24" s="832"/>
      <c r="OE24" s="832"/>
      <c r="OF24" s="832"/>
      <c r="OG24" s="832"/>
      <c r="OH24" s="832"/>
      <c r="OI24" s="832"/>
      <c r="OJ24" s="832"/>
      <c r="OK24" s="832"/>
      <c r="OL24" s="832"/>
      <c r="OM24" s="832"/>
      <c r="ON24" s="832"/>
      <c r="OO24" s="832"/>
      <c r="OP24" s="832"/>
      <c r="OQ24" s="832"/>
      <c r="OR24" s="832"/>
      <c r="OS24" s="832"/>
      <c r="OT24" s="832"/>
      <c r="OU24" s="832"/>
      <c r="OV24" s="832"/>
      <c r="OW24" s="832"/>
      <c r="OX24" s="832"/>
      <c r="OY24" s="832"/>
      <c r="OZ24" s="832"/>
      <c r="PA24" s="832"/>
      <c r="PB24" s="832"/>
      <c r="PC24" s="832"/>
      <c r="PD24" s="832"/>
      <c r="PE24" s="832"/>
      <c r="PF24" s="832"/>
      <c r="PG24" s="832"/>
      <c r="PH24" s="832"/>
      <c r="PI24" s="832"/>
      <c r="PJ24" s="832"/>
      <c r="PK24" s="832"/>
      <c r="PL24" s="832"/>
      <c r="PM24" s="832"/>
      <c r="PN24" s="832"/>
      <c r="PO24" s="832"/>
      <c r="PP24" s="832"/>
      <c r="PQ24" s="832"/>
      <c r="PR24" s="832"/>
      <c r="PS24" s="832"/>
      <c r="PT24" s="832"/>
      <c r="PU24" s="832"/>
      <c r="PV24" s="832"/>
      <c r="PW24" s="832"/>
      <c r="PX24" s="832"/>
      <c r="PY24" s="832"/>
      <c r="PZ24" s="832"/>
      <c r="QA24" s="832"/>
      <c r="QB24" s="832"/>
      <c r="QC24" s="832"/>
      <c r="QD24" s="832"/>
      <c r="QE24" s="832"/>
      <c r="QF24" s="832"/>
      <c r="QG24" s="832"/>
      <c r="QH24" s="832"/>
      <c r="QI24" s="832"/>
      <c r="QJ24" s="832"/>
      <c r="QK24" s="832"/>
      <c r="QL24" s="832"/>
      <c r="QM24" s="832"/>
      <c r="QN24" s="832"/>
      <c r="QO24" s="832"/>
      <c r="QP24" s="832"/>
      <c r="QQ24" s="832"/>
      <c r="QR24" s="832"/>
      <c r="QS24" s="832"/>
      <c r="QT24" s="832"/>
      <c r="QU24" s="832"/>
      <c r="QV24" s="832"/>
      <c r="QW24" s="832"/>
      <c r="QX24" s="832"/>
      <c r="QY24" s="832"/>
      <c r="QZ24" s="832"/>
      <c r="RA24" s="832"/>
      <c r="RB24" s="832"/>
      <c r="RC24" s="832"/>
      <c r="RD24" s="832"/>
      <c r="RE24" s="832"/>
      <c r="RF24" s="832"/>
      <c r="RG24" s="832"/>
      <c r="RH24" s="832"/>
      <c r="RI24" s="832"/>
      <c r="RJ24" s="832"/>
      <c r="RK24" s="832"/>
      <c r="RL24" s="832"/>
      <c r="RM24" s="832"/>
      <c r="RN24" s="832"/>
      <c r="RO24" s="832"/>
      <c r="RP24" s="832"/>
      <c r="RQ24" s="832"/>
      <c r="RR24" s="832"/>
      <c r="RS24" s="832"/>
      <c r="RT24" s="832"/>
      <c r="RU24" s="832"/>
      <c r="RV24" s="832"/>
      <c r="RW24" s="832"/>
      <c r="RX24" s="832"/>
      <c r="RY24" s="832"/>
      <c r="RZ24" s="832"/>
      <c r="SA24" s="832"/>
      <c r="SB24" s="832"/>
      <c r="SC24" s="832"/>
      <c r="SD24" s="832"/>
      <c r="SE24" s="832"/>
      <c r="SF24" s="832"/>
      <c r="SG24" s="832"/>
      <c r="SH24" s="832"/>
      <c r="SI24" s="832"/>
      <c r="SJ24" s="832"/>
      <c r="SK24" s="832"/>
      <c r="SL24" s="832"/>
      <c r="SM24" s="832"/>
      <c r="SN24" s="832"/>
      <c r="SO24" s="832"/>
      <c r="SP24" s="832"/>
      <c r="SQ24" s="832"/>
      <c r="SR24" s="832"/>
      <c r="SS24" s="832"/>
      <c r="ST24" s="832"/>
      <c r="SU24" s="832"/>
      <c r="SV24" s="832"/>
      <c r="SW24" s="832"/>
      <c r="SX24" s="832"/>
      <c r="SY24" s="832"/>
      <c r="SZ24" s="832"/>
      <c r="TA24" s="832"/>
      <c r="TB24" s="832"/>
      <c r="TC24" s="832"/>
      <c r="TD24" s="832"/>
      <c r="TE24" s="832"/>
      <c r="TF24" s="832"/>
      <c r="TG24" s="832"/>
      <c r="TH24" s="832"/>
      <c r="TI24" s="832"/>
      <c r="TJ24" s="832"/>
      <c r="TK24" s="832"/>
      <c r="TL24" s="832"/>
      <c r="TM24" s="832"/>
      <c r="TN24" s="832"/>
      <c r="TO24" s="832"/>
      <c r="TP24" s="832"/>
      <c r="TQ24" s="832"/>
      <c r="TR24" s="832"/>
      <c r="TS24" s="832"/>
      <c r="TT24" s="832"/>
      <c r="TU24" s="832"/>
      <c r="TV24" s="832"/>
      <c r="TW24" s="832"/>
      <c r="TX24" s="832"/>
      <c r="TY24" s="832"/>
      <c r="TZ24" s="832"/>
      <c r="UA24" s="832"/>
      <c r="UB24" s="832"/>
      <c r="UC24" s="832"/>
      <c r="UD24" s="832"/>
      <c r="UE24" s="832"/>
      <c r="UF24" s="832"/>
      <c r="UG24" s="832"/>
      <c r="UH24" s="832"/>
      <c r="UI24" s="832"/>
      <c r="UJ24" s="832"/>
      <c r="UK24" s="832"/>
      <c r="UL24" s="832"/>
      <c r="UM24" s="832"/>
      <c r="UN24" s="832"/>
      <c r="UO24" s="832"/>
      <c r="UP24" s="832"/>
      <c r="UQ24" s="832"/>
      <c r="UR24" s="832"/>
      <c r="US24" s="832"/>
      <c r="UT24" s="832"/>
      <c r="UU24" s="832"/>
      <c r="UV24" s="832"/>
      <c r="UW24" s="832"/>
      <c r="UX24" s="832"/>
      <c r="UY24" s="832"/>
      <c r="UZ24" s="832"/>
      <c r="VA24" s="832"/>
      <c r="VB24" s="832"/>
      <c r="VC24" s="832"/>
      <c r="VD24" s="832"/>
      <c r="VE24" s="832"/>
      <c r="VF24" s="832"/>
      <c r="VG24" s="832"/>
      <c r="VH24" s="832"/>
      <c r="VI24" s="832"/>
      <c r="VJ24" s="832"/>
      <c r="VK24" s="832"/>
      <c r="VL24" s="832"/>
      <c r="VM24" s="832"/>
      <c r="VN24" s="832"/>
      <c r="VO24" s="832"/>
      <c r="VP24" s="832"/>
      <c r="VQ24" s="832"/>
      <c r="VR24" s="832"/>
      <c r="VS24" s="832"/>
      <c r="VT24" s="832"/>
      <c r="VU24" s="832"/>
      <c r="VV24" s="832"/>
      <c r="VW24" s="832"/>
      <c r="VX24" s="832"/>
      <c r="VY24" s="832"/>
      <c r="VZ24" s="832"/>
      <c r="WA24" s="832"/>
      <c r="WB24" s="832"/>
      <c r="WC24" s="832"/>
      <c r="WD24" s="832"/>
      <c r="WE24" s="832"/>
      <c r="WF24" s="832"/>
      <c r="WG24" s="832"/>
      <c r="WH24" s="832"/>
      <c r="WI24" s="832"/>
      <c r="WJ24" s="832"/>
      <c r="WK24" s="832"/>
      <c r="WL24" s="832"/>
      <c r="WM24" s="832"/>
      <c r="WN24" s="832"/>
      <c r="WO24" s="832"/>
      <c r="WP24" s="832"/>
      <c r="WQ24" s="832"/>
      <c r="WR24" s="832"/>
      <c r="WS24" s="832"/>
      <c r="WT24" s="832"/>
      <c r="WU24" s="832"/>
      <c r="WV24" s="832"/>
      <c r="WW24" s="832"/>
      <c r="WX24" s="832"/>
      <c r="WY24" s="832"/>
      <c r="WZ24" s="832"/>
      <c r="XA24" s="832"/>
      <c r="XB24" s="832"/>
      <c r="XC24" s="832"/>
      <c r="XD24" s="832"/>
      <c r="XE24" s="832"/>
      <c r="XF24" s="832"/>
      <c r="XG24" s="832"/>
      <c r="XH24" s="832"/>
      <c r="XI24" s="832"/>
      <c r="XJ24" s="832"/>
      <c r="XK24" s="832"/>
      <c r="XL24" s="832"/>
      <c r="XM24" s="832"/>
      <c r="XN24" s="832"/>
      <c r="XO24" s="832"/>
      <c r="XP24" s="832"/>
      <c r="XQ24" s="832"/>
      <c r="XR24" s="832"/>
      <c r="XS24" s="832"/>
      <c r="XT24" s="832"/>
      <c r="XU24" s="832"/>
      <c r="XV24" s="832"/>
      <c r="XW24" s="832"/>
      <c r="XX24" s="832"/>
      <c r="XY24" s="832"/>
      <c r="XZ24" s="832"/>
      <c r="YA24" s="832"/>
      <c r="YB24" s="832"/>
      <c r="YC24" s="832"/>
      <c r="YD24" s="832"/>
      <c r="YE24" s="832"/>
      <c r="YF24" s="832"/>
      <c r="YG24" s="832"/>
      <c r="YH24" s="832"/>
      <c r="YI24" s="832"/>
      <c r="YJ24" s="832"/>
      <c r="YK24" s="832"/>
      <c r="YL24" s="832"/>
      <c r="YM24" s="832"/>
      <c r="YN24" s="832"/>
      <c r="YO24" s="832"/>
      <c r="YP24" s="832"/>
      <c r="YQ24" s="832"/>
      <c r="YR24" s="832"/>
      <c r="YS24" s="832"/>
      <c r="YT24" s="832"/>
      <c r="YU24" s="832"/>
      <c r="YV24" s="832"/>
      <c r="YW24" s="832"/>
      <c r="YX24" s="832"/>
      <c r="YY24" s="832"/>
      <c r="YZ24" s="832"/>
      <c r="ZA24" s="832"/>
      <c r="ZB24" s="832"/>
      <c r="ZC24" s="832"/>
      <c r="ZD24" s="832"/>
      <c r="ZE24" s="832"/>
      <c r="ZF24" s="832"/>
      <c r="ZG24" s="832"/>
      <c r="ZH24" s="832"/>
      <c r="ZI24" s="832"/>
      <c r="ZJ24" s="832"/>
      <c r="ZK24" s="832"/>
      <c r="ZL24" s="832"/>
      <c r="ZM24" s="832"/>
      <c r="ZN24" s="832"/>
      <c r="ZO24" s="832"/>
      <c r="ZP24" s="832"/>
      <c r="ZQ24" s="832"/>
      <c r="ZR24" s="832"/>
      <c r="ZS24" s="832"/>
      <c r="ZT24" s="832"/>
      <c r="ZU24" s="832"/>
      <c r="ZV24" s="832"/>
      <c r="ZW24" s="832"/>
      <c r="ZX24" s="832"/>
      <c r="ZY24" s="832"/>
      <c r="ZZ24" s="832"/>
      <c r="AAA24" s="832"/>
      <c r="AAB24" s="832"/>
      <c r="AAC24" s="832"/>
      <c r="AAD24" s="832"/>
      <c r="AAE24" s="832"/>
      <c r="AAF24" s="832"/>
      <c r="AAG24" s="832"/>
      <c r="AAH24" s="832"/>
      <c r="AAI24" s="832"/>
      <c r="AAJ24" s="832"/>
      <c r="AAK24" s="832"/>
      <c r="AAL24" s="832"/>
      <c r="AAM24" s="832"/>
      <c r="AAN24" s="832"/>
      <c r="AAO24" s="832"/>
      <c r="AAP24" s="832"/>
      <c r="AAQ24" s="832"/>
      <c r="AAR24" s="832"/>
      <c r="AAS24" s="832"/>
      <c r="AAT24" s="832"/>
      <c r="AAU24" s="832"/>
      <c r="AAV24" s="832"/>
      <c r="AAW24" s="832"/>
      <c r="AAX24" s="832"/>
      <c r="AAY24" s="832"/>
      <c r="AAZ24" s="832"/>
      <c r="ABA24" s="832"/>
      <c r="ABB24" s="832"/>
      <c r="ABC24" s="832"/>
      <c r="ABD24" s="832"/>
      <c r="ABE24" s="832"/>
      <c r="ABF24" s="832"/>
      <c r="ABG24" s="832"/>
      <c r="ABH24" s="832"/>
      <c r="ABI24" s="832"/>
      <c r="ABJ24" s="832"/>
      <c r="ABK24" s="832"/>
      <c r="ABL24" s="832"/>
      <c r="ABM24" s="832"/>
      <c r="ABN24" s="832"/>
      <c r="ABO24" s="832"/>
      <c r="ABP24" s="832"/>
      <c r="ABQ24" s="832"/>
      <c r="ABR24" s="832"/>
      <c r="ABS24" s="832"/>
      <c r="ABT24" s="832"/>
      <c r="ABU24" s="832"/>
      <c r="ABV24" s="832"/>
      <c r="ABW24" s="832"/>
      <c r="ABX24" s="832"/>
      <c r="ABY24" s="832"/>
      <c r="ABZ24" s="832"/>
      <c r="ACA24" s="832"/>
      <c r="ACB24" s="832"/>
      <c r="ACC24" s="832"/>
      <c r="ACD24" s="832"/>
      <c r="ACE24" s="832"/>
      <c r="ACF24" s="832"/>
      <c r="ACG24" s="832"/>
      <c r="ACH24" s="832"/>
      <c r="ACI24" s="832"/>
      <c r="ACJ24" s="832"/>
      <c r="ACK24" s="832"/>
      <c r="ACL24" s="832"/>
      <c r="ACM24" s="832"/>
      <c r="ACN24" s="832"/>
      <c r="ACO24" s="832"/>
      <c r="ACP24" s="832"/>
      <c r="ACQ24" s="832"/>
      <c r="ACR24" s="832"/>
      <c r="ACS24" s="832"/>
      <c r="ACT24" s="832"/>
      <c r="ACU24" s="832"/>
      <c r="ACV24" s="832"/>
      <c r="ACW24" s="832"/>
      <c r="ACX24" s="832"/>
      <c r="ACY24" s="832"/>
      <c r="ACZ24" s="832"/>
      <c r="ADA24" s="832"/>
      <c r="ADB24" s="832"/>
      <c r="ADC24" s="832"/>
      <c r="ADD24" s="832"/>
      <c r="ADE24" s="832"/>
      <c r="ADF24" s="832"/>
      <c r="ADG24" s="832"/>
      <c r="ADH24" s="832"/>
      <c r="ADI24" s="832"/>
      <c r="ADJ24" s="832"/>
      <c r="ADK24" s="832"/>
      <c r="ADL24" s="832"/>
      <c r="ADM24" s="832"/>
      <c r="ADN24" s="832"/>
      <c r="ADO24" s="832"/>
      <c r="ADP24" s="832"/>
      <c r="ADQ24" s="832"/>
      <c r="ADR24" s="832"/>
      <c r="ADS24" s="832"/>
      <c r="ADT24" s="832"/>
      <c r="ADU24" s="832"/>
      <c r="ADV24" s="832"/>
      <c r="ADW24" s="832"/>
      <c r="ADX24" s="832"/>
      <c r="ADY24" s="832"/>
      <c r="ADZ24" s="832"/>
      <c r="AEA24" s="832"/>
      <c r="AEB24" s="832"/>
      <c r="AEC24" s="832"/>
      <c r="AED24" s="832"/>
      <c r="AEE24" s="832"/>
      <c r="AEF24" s="832"/>
      <c r="AEG24" s="832"/>
      <c r="AEH24" s="832"/>
      <c r="AEI24" s="832"/>
      <c r="AEJ24" s="832"/>
      <c r="AEK24" s="832"/>
      <c r="AEL24" s="832"/>
      <c r="AEM24" s="832"/>
      <c r="AEN24" s="832"/>
      <c r="AEO24" s="832"/>
      <c r="AEP24" s="832"/>
      <c r="AEQ24" s="832"/>
      <c r="AER24" s="832"/>
      <c r="AES24" s="832"/>
      <c r="AET24" s="832"/>
      <c r="AEU24" s="832"/>
      <c r="AEV24" s="832"/>
      <c r="AEW24" s="832"/>
      <c r="AEX24" s="832"/>
      <c r="AEY24" s="832"/>
      <c r="AEZ24" s="832"/>
      <c r="AFA24" s="832"/>
      <c r="AFB24" s="832"/>
      <c r="AFC24" s="832"/>
      <c r="AFD24" s="832"/>
      <c r="AFE24" s="832"/>
      <c r="AFF24" s="832"/>
      <c r="AFG24" s="832"/>
      <c r="AFH24" s="832"/>
      <c r="AFI24" s="832"/>
      <c r="AFJ24" s="832"/>
      <c r="AFK24" s="832"/>
      <c r="AFL24" s="832"/>
      <c r="AFM24" s="832"/>
      <c r="AFN24" s="832"/>
      <c r="AFO24" s="832"/>
      <c r="AFP24" s="832"/>
      <c r="AFQ24" s="832"/>
      <c r="AFR24" s="832"/>
      <c r="AFS24" s="832"/>
      <c r="AFT24" s="832"/>
      <c r="AFU24" s="832"/>
      <c r="AFV24" s="832"/>
      <c r="AFW24" s="832"/>
      <c r="AFX24" s="832"/>
      <c r="AFY24" s="832"/>
      <c r="AFZ24" s="832"/>
      <c r="AGA24" s="832"/>
      <c r="AGB24" s="832"/>
      <c r="AGC24" s="832"/>
      <c r="AGD24" s="832"/>
      <c r="AGE24" s="832"/>
      <c r="AGF24" s="832"/>
      <c r="AGG24" s="832"/>
      <c r="AGH24" s="832"/>
      <c r="AGI24" s="832"/>
      <c r="AGJ24" s="832"/>
      <c r="AGK24" s="832"/>
      <c r="AGL24" s="832"/>
      <c r="AGM24" s="832"/>
      <c r="AGN24" s="832"/>
      <c r="AGO24" s="832"/>
      <c r="AGP24" s="832"/>
      <c r="AGQ24" s="832"/>
      <c r="AGR24" s="832"/>
      <c r="AGS24" s="832"/>
      <c r="AGT24" s="832"/>
      <c r="AGU24" s="832"/>
      <c r="AGV24" s="832"/>
      <c r="AGW24" s="832"/>
      <c r="AGX24" s="832"/>
      <c r="AGY24" s="832"/>
      <c r="AGZ24" s="832"/>
      <c r="AHA24" s="832"/>
      <c r="AHB24" s="832"/>
      <c r="AHC24" s="832"/>
      <c r="AHD24" s="832"/>
      <c r="AHE24" s="832"/>
      <c r="AHF24" s="832"/>
      <c r="AHG24" s="832"/>
      <c r="AHH24" s="832"/>
      <c r="AHI24" s="832"/>
      <c r="AHJ24" s="832"/>
      <c r="AHK24" s="832"/>
      <c r="AHL24" s="832"/>
      <c r="AHM24" s="832"/>
      <c r="AHN24" s="832"/>
      <c r="AHO24" s="832"/>
      <c r="AHP24" s="832"/>
      <c r="AHQ24" s="832"/>
      <c r="AHR24" s="832"/>
      <c r="AHS24" s="832"/>
      <c r="AHT24" s="832"/>
      <c r="AHU24" s="832"/>
      <c r="AHV24" s="832"/>
      <c r="AHW24" s="832"/>
      <c r="AHX24" s="832"/>
      <c r="AHY24" s="832"/>
      <c r="AHZ24" s="832"/>
      <c r="AIA24" s="832"/>
      <c r="AIB24" s="832"/>
      <c r="AIC24" s="832"/>
      <c r="AID24" s="832"/>
      <c r="AIE24" s="832"/>
      <c r="AIF24" s="832"/>
      <c r="AIG24" s="832"/>
      <c r="AIH24" s="832"/>
      <c r="AII24" s="832"/>
      <c r="AIJ24" s="832"/>
      <c r="AIK24" s="832"/>
      <c r="AIL24" s="832"/>
      <c r="AIM24" s="832"/>
      <c r="AIN24" s="832"/>
      <c r="AIO24" s="832"/>
      <c r="AIP24" s="832"/>
      <c r="AIQ24" s="832"/>
      <c r="AIR24" s="832"/>
      <c r="AIS24" s="832"/>
      <c r="AIT24" s="832"/>
      <c r="AIU24" s="832"/>
      <c r="AIV24" s="832"/>
      <c r="AIW24" s="832"/>
      <c r="AIX24" s="832"/>
      <c r="AIY24" s="832"/>
      <c r="AIZ24" s="832"/>
      <c r="AJA24" s="832"/>
      <c r="AJB24" s="832"/>
      <c r="AJC24" s="832"/>
      <c r="AJD24" s="832"/>
      <c r="AJE24" s="832"/>
      <c r="AJF24" s="832"/>
      <c r="AJG24" s="832"/>
      <c r="AJH24" s="832"/>
      <c r="AJI24" s="832"/>
      <c r="AJJ24" s="832"/>
      <c r="AJK24" s="832"/>
      <c r="AJL24" s="832"/>
      <c r="AJM24" s="832"/>
      <c r="AJN24" s="832"/>
      <c r="AJO24" s="832"/>
      <c r="AJP24" s="832"/>
      <c r="AJQ24" s="832"/>
      <c r="AJR24" s="832"/>
      <c r="AJS24" s="832"/>
      <c r="AJT24" s="832"/>
      <c r="AJU24" s="832"/>
      <c r="AJV24" s="832"/>
      <c r="AJW24" s="832"/>
      <c r="AJX24" s="832"/>
      <c r="AJY24" s="832"/>
      <c r="AJZ24" s="832"/>
      <c r="AKA24" s="832"/>
      <c r="AKB24" s="832"/>
      <c r="AKC24" s="832"/>
      <c r="AKD24" s="832"/>
      <c r="AKE24" s="832"/>
      <c r="AKF24" s="832"/>
      <c r="AKG24" s="832"/>
      <c r="AKH24" s="832"/>
      <c r="AKI24" s="832"/>
      <c r="AKJ24" s="832"/>
      <c r="AKK24" s="832"/>
      <c r="AKL24" s="832"/>
      <c r="AKM24" s="832"/>
      <c r="AKN24" s="832"/>
      <c r="AKO24" s="832"/>
      <c r="AKP24" s="832"/>
      <c r="AKQ24" s="832"/>
      <c r="AKR24" s="832"/>
      <c r="AKS24" s="832"/>
      <c r="AKT24" s="832"/>
      <c r="AKU24" s="832"/>
      <c r="AKV24" s="832"/>
      <c r="AKW24" s="832"/>
      <c r="AKX24" s="832"/>
      <c r="AKY24" s="832"/>
      <c r="AKZ24" s="832"/>
      <c r="ALA24" s="832"/>
      <c r="ALB24" s="832"/>
      <c r="ALC24" s="832"/>
      <c r="ALD24" s="832"/>
      <c r="ALE24" s="832"/>
      <c r="ALF24" s="832"/>
      <c r="ALG24" s="832"/>
      <c r="ALH24" s="832"/>
      <c r="ALI24" s="832"/>
      <c r="ALJ24" s="832"/>
      <c r="ALK24" s="832"/>
      <c r="ALL24" s="832"/>
      <c r="ALM24" s="832"/>
      <c r="ALN24" s="832"/>
      <c r="ALO24" s="832"/>
      <c r="ALP24" s="832"/>
      <c r="ALQ24" s="832"/>
      <c r="ALR24" s="832"/>
      <c r="ALS24" s="832"/>
      <c r="ALT24" s="832"/>
      <c r="ALU24" s="832"/>
      <c r="ALV24" s="832"/>
      <c r="ALW24" s="832"/>
      <c r="ALX24" s="832"/>
      <c r="ALY24" s="832"/>
      <c r="ALZ24" s="832"/>
      <c r="AMA24" s="832"/>
      <c r="AMB24" s="832"/>
      <c r="AMC24" s="832"/>
      <c r="AMD24" s="832"/>
      <c r="AME24" s="832"/>
      <c r="AMF24" s="832"/>
      <c r="AMG24" s="832"/>
      <c r="AMH24" s="832"/>
      <c r="AMI24" s="832"/>
      <c r="AMJ24" s="832"/>
      <c r="AMK24" s="832"/>
      <c r="AML24" s="832"/>
    </row>
    <row r="25" spans="1:1026" ht="50.1" customHeight="1" outlineLevel="1">
      <c r="A25" s="844"/>
      <c r="B25" s="449" t="s">
        <v>35</v>
      </c>
      <c r="C25" s="879" t="s">
        <v>36</v>
      </c>
      <c r="D25" s="443" t="s">
        <v>37</v>
      </c>
      <c r="E25" s="444" t="s">
        <v>38</v>
      </c>
      <c r="F25" s="881">
        <v>65</v>
      </c>
      <c r="G25" s="890">
        <f t="shared" ref="G25:G33" si="0">K25</f>
        <v>205.75</v>
      </c>
      <c r="H25" s="883">
        <f t="shared" ref="H25:H33" si="1">F25*G25</f>
        <v>13373.75</v>
      </c>
      <c r="I25" s="844"/>
      <c r="J25" s="841">
        <v>162.51</v>
      </c>
      <c r="K25" s="842">
        <f t="shared" ref="K25:K83" si="2">ROUND(J25*(1+$H$14),2)</f>
        <v>205.75</v>
      </c>
    </row>
    <row r="26" spans="1:1026" ht="54.75" customHeight="1" outlineLevel="1">
      <c r="A26" s="844"/>
      <c r="B26" s="449" t="s">
        <v>39</v>
      </c>
      <c r="C26" s="879" t="s">
        <v>40</v>
      </c>
      <c r="D26" s="443" t="s">
        <v>41</v>
      </c>
      <c r="E26" s="444" t="s">
        <v>38</v>
      </c>
      <c r="F26" s="881">
        <v>15</v>
      </c>
      <c r="G26" s="890">
        <f t="shared" si="0"/>
        <v>43.77</v>
      </c>
      <c r="H26" s="883">
        <f t="shared" si="1"/>
        <v>656.55000000000007</v>
      </c>
      <c r="I26" s="844"/>
      <c r="J26" s="841">
        <v>34.57</v>
      </c>
      <c r="K26" s="842">
        <f t="shared" si="2"/>
        <v>43.77</v>
      </c>
    </row>
    <row r="27" spans="1:1026" ht="53.25" customHeight="1" outlineLevel="1">
      <c r="A27" s="844"/>
      <c r="B27" s="449" t="s">
        <v>42</v>
      </c>
      <c r="C27" s="879" t="s">
        <v>43</v>
      </c>
      <c r="D27" s="443" t="s">
        <v>44</v>
      </c>
      <c r="E27" s="444" t="s">
        <v>38</v>
      </c>
      <c r="F27" s="881">
        <v>10</v>
      </c>
      <c r="G27" s="890">
        <f t="shared" si="0"/>
        <v>626.62</v>
      </c>
      <c r="H27" s="883">
        <f t="shared" si="1"/>
        <v>6266.2</v>
      </c>
      <c r="I27" s="844"/>
      <c r="J27" s="841">
        <v>494.92</v>
      </c>
      <c r="K27" s="842">
        <f t="shared" si="2"/>
        <v>626.62</v>
      </c>
    </row>
    <row r="28" spans="1:1026" ht="42" customHeight="1" outlineLevel="1">
      <c r="A28" s="844"/>
      <c r="B28" s="449" t="s">
        <v>45</v>
      </c>
      <c r="C28" s="879" t="s">
        <v>46</v>
      </c>
      <c r="D28" s="450" t="s">
        <v>47</v>
      </c>
      <c r="E28" s="444" t="s">
        <v>38</v>
      </c>
      <c r="F28" s="881">
        <v>10</v>
      </c>
      <c r="G28" s="890">
        <f t="shared" si="0"/>
        <v>364.24</v>
      </c>
      <c r="H28" s="883">
        <f t="shared" si="1"/>
        <v>3642.4</v>
      </c>
      <c r="I28" s="844"/>
      <c r="J28" s="841">
        <v>287.69</v>
      </c>
      <c r="K28" s="842">
        <f t="shared" si="2"/>
        <v>364.24</v>
      </c>
    </row>
    <row r="29" spans="1:1026" ht="39" customHeight="1" outlineLevel="1">
      <c r="A29" s="844"/>
      <c r="B29" s="449" t="s">
        <v>48</v>
      </c>
      <c r="C29" s="879" t="s">
        <v>49</v>
      </c>
      <c r="D29" s="443" t="s">
        <v>50</v>
      </c>
      <c r="E29" s="444" t="s">
        <v>27</v>
      </c>
      <c r="F29" s="881">
        <f>300</f>
        <v>300</v>
      </c>
      <c r="G29" s="890">
        <f t="shared" si="0"/>
        <v>13.69</v>
      </c>
      <c r="H29" s="883">
        <f t="shared" si="1"/>
        <v>4107</v>
      </c>
      <c r="I29" s="844"/>
      <c r="J29" s="841">
        <v>10.81</v>
      </c>
      <c r="K29" s="842">
        <f t="shared" si="2"/>
        <v>13.69</v>
      </c>
    </row>
    <row r="30" spans="1:1026" ht="53.25" customHeight="1" outlineLevel="1">
      <c r="A30" s="844"/>
      <c r="B30" s="449" t="s">
        <v>51</v>
      </c>
      <c r="C30" s="691" t="s">
        <v>52</v>
      </c>
      <c r="D30" s="437" t="s">
        <v>53</v>
      </c>
      <c r="E30" s="691" t="s">
        <v>27</v>
      </c>
      <c r="F30" s="692">
        <v>10.9</v>
      </c>
      <c r="G30" s="890">
        <f t="shared" si="0"/>
        <v>506.57</v>
      </c>
      <c r="H30" s="883">
        <f t="shared" si="1"/>
        <v>5521.6130000000003</v>
      </c>
      <c r="I30" s="844"/>
      <c r="J30" s="841">
        <v>400.1</v>
      </c>
      <c r="K30" s="842">
        <f t="shared" si="2"/>
        <v>506.57</v>
      </c>
    </row>
    <row r="31" spans="1:1026" ht="51" customHeight="1" outlineLevel="1">
      <c r="A31" s="844"/>
      <c r="B31" s="449" t="s">
        <v>54</v>
      </c>
      <c r="C31" s="691" t="s">
        <v>55</v>
      </c>
      <c r="D31" s="437" t="s">
        <v>56</v>
      </c>
      <c r="E31" s="691" t="s">
        <v>27</v>
      </c>
      <c r="F31" s="692">
        <f>(1.21)*10</f>
        <v>12.1</v>
      </c>
      <c r="G31" s="890">
        <f t="shared" si="0"/>
        <v>408.52</v>
      </c>
      <c r="H31" s="883">
        <f t="shared" si="1"/>
        <v>4943.0919999999996</v>
      </c>
      <c r="I31" s="844"/>
      <c r="J31" s="841">
        <v>322.66000000000003</v>
      </c>
      <c r="K31" s="842">
        <f t="shared" si="2"/>
        <v>408.52</v>
      </c>
    </row>
    <row r="32" spans="1:1026" ht="54.75" customHeight="1" outlineLevel="1">
      <c r="A32" s="844"/>
      <c r="B32" s="449" t="s">
        <v>57</v>
      </c>
      <c r="C32" s="691" t="s">
        <v>58</v>
      </c>
      <c r="D32" s="437" t="s">
        <v>59</v>
      </c>
      <c r="E32" s="691" t="s">
        <v>60</v>
      </c>
      <c r="F32" s="692">
        <v>1</v>
      </c>
      <c r="G32" s="890">
        <f t="shared" si="0"/>
        <v>13437.95</v>
      </c>
      <c r="H32" s="883">
        <f t="shared" si="1"/>
        <v>13437.95</v>
      </c>
      <c r="I32" s="844"/>
      <c r="J32" s="841">
        <v>10613.66</v>
      </c>
      <c r="K32" s="842">
        <f t="shared" si="2"/>
        <v>13437.95</v>
      </c>
    </row>
    <row r="33" spans="1:11" ht="39" customHeight="1" outlineLevel="1">
      <c r="A33" s="844"/>
      <c r="B33" s="449" t="s">
        <v>61</v>
      </c>
      <c r="C33" s="691" t="s">
        <v>62</v>
      </c>
      <c r="D33" s="437" t="s">
        <v>63</v>
      </c>
      <c r="E33" s="691" t="s">
        <v>60</v>
      </c>
      <c r="F33" s="692">
        <v>1</v>
      </c>
      <c r="G33" s="890">
        <f t="shared" si="0"/>
        <v>2119.27</v>
      </c>
      <c r="H33" s="883">
        <f t="shared" si="1"/>
        <v>2119.27</v>
      </c>
      <c r="I33" s="844"/>
      <c r="J33" s="841">
        <v>1673.86</v>
      </c>
      <c r="K33" s="842">
        <f t="shared" si="2"/>
        <v>2119.27</v>
      </c>
    </row>
    <row r="34" spans="1:11" ht="24.95" customHeight="1">
      <c r="A34" s="844"/>
      <c r="B34" s="875">
        <v>3</v>
      </c>
      <c r="C34" s="875"/>
      <c r="D34" s="447" t="s">
        <v>64</v>
      </c>
      <c r="E34" s="875"/>
      <c r="F34" s="884"/>
      <c r="G34" s="877"/>
      <c r="H34" s="878"/>
      <c r="I34" s="844"/>
    </row>
    <row r="35" spans="1:11" ht="24.95" customHeight="1">
      <c r="A35" s="844"/>
      <c r="B35" s="875" t="s">
        <v>65</v>
      </c>
      <c r="C35" s="875"/>
      <c r="D35" s="447" t="s">
        <v>66</v>
      </c>
      <c r="E35" s="875"/>
      <c r="F35" s="884"/>
      <c r="G35" s="877"/>
      <c r="H35" s="878"/>
      <c r="I35" s="844"/>
    </row>
    <row r="36" spans="1:11" ht="24.95" customHeight="1" outlineLevel="1">
      <c r="A36" s="844"/>
      <c r="B36" s="891" t="s">
        <v>67</v>
      </c>
      <c r="C36" s="879" t="s">
        <v>68</v>
      </c>
      <c r="D36" s="892" t="s">
        <v>69</v>
      </c>
      <c r="E36" s="444" t="s">
        <v>70</v>
      </c>
      <c r="F36" s="881">
        <f>'INFRA E SUPER'!C34</f>
        <v>173.26840000000001</v>
      </c>
      <c r="G36" s="893">
        <f>K36</f>
        <v>53.99</v>
      </c>
      <c r="H36" s="883">
        <f>F36*G36</f>
        <v>9354.7609160000011</v>
      </c>
      <c r="I36" s="844"/>
      <c r="J36" s="841">
        <v>42.64</v>
      </c>
      <c r="K36" s="842">
        <f t="shared" si="2"/>
        <v>53.99</v>
      </c>
    </row>
    <row r="37" spans="1:11" ht="36" customHeight="1" outlineLevel="1">
      <c r="A37" s="844"/>
      <c r="B37" s="891" t="s">
        <v>71</v>
      </c>
      <c r="C37" s="879" t="s">
        <v>72</v>
      </c>
      <c r="D37" s="892" t="s">
        <v>73</v>
      </c>
      <c r="E37" s="444" t="s">
        <v>38</v>
      </c>
      <c r="F37" s="881">
        <f>'INFRA E SUPER'!K10</f>
        <v>774</v>
      </c>
      <c r="G37" s="893">
        <f>K37</f>
        <v>170.62</v>
      </c>
      <c r="H37" s="883">
        <f>F37*G37</f>
        <v>132059.88</v>
      </c>
      <c r="I37" s="844"/>
      <c r="J37" s="841">
        <v>134.76</v>
      </c>
      <c r="K37" s="842">
        <f t="shared" si="2"/>
        <v>170.62</v>
      </c>
    </row>
    <row r="38" spans="1:11" ht="24.95" customHeight="1" outlineLevel="1">
      <c r="A38" s="844"/>
      <c r="B38" s="891" t="s">
        <v>74</v>
      </c>
      <c r="C38" s="894" t="s">
        <v>75</v>
      </c>
      <c r="D38" s="892" t="s">
        <v>76</v>
      </c>
      <c r="E38" s="444" t="s">
        <v>27</v>
      </c>
      <c r="F38" s="881">
        <f>'INFRA E SUPER'!E74</f>
        <v>369.33100000000002</v>
      </c>
      <c r="G38" s="893">
        <f>K38</f>
        <v>28.23</v>
      </c>
      <c r="H38" s="883">
        <f>F38*G38</f>
        <v>10426.21413</v>
      </c>
      <c r="I38" s="844"/>
      <c r="J38" s="841">
        <v>22.3</v>
      </c>
      <c r="K38" s="842">
        <f t="shared" si="2"/>
        <v>28.23</v>
      </c>
    </row>
    <row r="39" spans="1:11" ht="24.95" customHeight="1">
      <c r="A39" s="844"/>
      <c r="B39" s="875" t="s">
        <v>77</v>
      </c>
      <c r="C39" s="875"/>
      <c r="D39" s="447" t="s">
        <v>78</v>
      </c>
      <c r="E39" s="875"/>
      <c r="F39" s="884"/>
      <c r="G39" s="877"/>
      <c r="H39" s="878"/>
      <c r="I39" s="844"/>
    </row>
    <row r="40" spans="1:11" ht="24.95" customHeight="1" outlineLevel="1">
      <c r="A40" s="844"/>
      <c r="B40" s="891" t="s">
        <v>79</v>
      </c>
      <c r="C40" s="895" t="s">
        <v>80</v>
      </c>
      <c r="D40" s="896" t="s">
        <v>81</v>
      </c>
      <c r="E40" s="895" t="s">
        <v>70</v>
      </c>
      <c r="F40" s="897">
        <f>'INFRA E SUPER'!B47</f>
        <v>103.42390000000002</v>
      </c>
      <c r="G40" s="893">
        <f>K40</f>
        <v>58.14</v>
      </c>
      <c r="H40" s="883">
        <f>F40*G40</f>
        <v>6013.0655460000007</v>
      </c>
      <c r="I40" s="844"/>
      <c r="J40" s="841">
        <v>45.92</v>
      </c>
      <c r="K40" s="842">
        <f t="shared" si="2"/>
        <v>58.14</v>
      </c>
    </row>
    <row r="41" spans="1:11" ht="35.25" customHeight="1" outlineLevel="1">
      <c r="A41" s="844"/>
      <c r="B41" s="891" t="s">
        <v>82</v>
      </c>
      <c r="C41" s="894" t="s">
        <v>83</v>
      </c>
      <c r="D41" s="896" t="s">
        <v>84</v>
      </c>
      <c r="E41" s="444" t="s">
        <v>70</v>
      </c>
      <c r="F41" s="887">
        <f>Infra!L81</f>
        <v>1668.7777777777778</v>
      </c>
      <c r="G41" s="893">
        <f>K41</f>
        <v>28.84</v>
      </c>
      <c r="H41" s="883">
        <f>F41*G41</f>
        <v>48127.551111111112</v>
      </c>
      <c r="I41" s="844"/>
      <c r="J41" s="841">
        <v>22.78</v>
      </c>
      <c r="K41" s="842">
        <f t="shared" si="2"/>
        <v>28.84</v>
      </c>
    </row>
    <row r="42" spans="1:11" ht="24.95" customHeight="1" outlineLevel="1">
      <c r="A42" s="844"/>
      <c r="B42" s="875" t="s">
        <v>85</v>
      </c>
      <c r="C42" s="875"/>
      <c r="D42" s="447" t="s">
        <v>86</v>
      </c>
      <c r="E42" s="875"/>
      <c r="F42" s="884"/>
      <c r="G42" s="877"/>
      <c r="H42" s="878"/>
      <c r="I42" s="844"/>
    </row>
    <row r="43" spans="1:11" ht="53.25" customHeight="1" outlineLevel="1">
      <c r="A43" s="844"/>
      <c r="B43" s="891" t="s">
        <v>87</v>
      </c>
      <c r="C43" s="879" t="s">
        <v>88</v>
      </c>
      <c r="D43" s="443" t="s">
        <v>89</v>
      </c>
      <c r="E43" s="444" t="s">
        <v>70</v>
      </c>
      <c r="F43" s="881">
        <f>'INFRA E SUPER'!F50:F50</f>
        <v>161.91</v>
      </c>
      <c r="G43" s="893">
        <f>K43</f>
        <v>67.45</v>
      </c>
      <c r="H43" s="883">
        <f>F43*G43</f>
        <v>10920.8295</v>
      </c>
      <c r="I43" s="844"/>
      <c r="J43" s="841">
        <v>53.27</v>
      </c>
      <c r="K43" s="842">
        <f t="shared" si="2"/>
        <v>67.45</v>
      </c>
    </row>
    <row r="44" spans="1:11" ht="24.95" customHeight="1">
      <c r="A44" s="844"/>
      <c r="B44" s="875">
        <v>4</v>
      </c>
      <c r="C44" s="875"/>
      <c r="D44" s="447" t="s">
        <v>90</v>
      </c>
      <c r="E44" s="875"/>
      <c r="F44" s="884"/>
      <c r="G44" s="877"/>
      <c r="H44" s="878"/>
      <c r="I44" s="844"/>
    </row>
    <row r="45" spans="1:11" ht="24.95" customHeight="1">
      <c r="A45" s="844"/>
      <c r="B45" s="875" t="s">
        <v>91</v>
      </c>
      <c r="C45" s="875"/>
      <c r="D45" s="447" t="s">
        <v>92</v>
      </c>
      <c r="E45" s="875"/>
      <c r="F45" s="884"/>
      <c r="G45" s="877"/>
      <c r="H45" s="878"/>
      <c r="I45" s="844"/>
    </row>
    <row r="46" spans="1:11" ht="38.25" customHeight="1" outlineLevel="1">
      <c r="A46" s="844"/>
      <c r="B46" s="444" t="s">
        <v>93</v>
      </c>
      <c r="C46" s="879" t="s">
        <v>94</v>
      </c>
      <c r="D46" s="443" t="s">
        <v>95</v>
      </c>
      <c r="E46" s="444" t="s">
        <v>27</v>
      </c>
      <c r="F46" s="881">
        <f>'INFRA E SUPER'!J78</f>
        <v>632.98</v>
      </c>
      <c r="G46" s="893">
        <f>K46</f>
        <v>76.98</v>
      </c>
      <c r="H46" s="883">
        <f>F46*G46</f>
        <v>48726.800400000007</v>
      </c>
      <c r="I46" s="844"/>
      <c r="J46" s="841">
        <v>60.8</v>
      </c>
      <c r="K46" s="842">
        <f t="shared" si="2"/>
        <v>76.98</v>
      </c>
    </row>
    <row r="47" spans="1:11" ht="38.25" customHeight="1" outlineLevel="1">
      <c r="A47" s="844"/>
      <c r="B47" s="444" t="s">
        <v>96</v>
      </c>
      <c r="C47" s="879" t="s">
        <v>97</v>
      </c>
      <c r="D47" s="443" t="s">
        <v>98</v>
      </c>
      <c r="E47" s="444" t="s">
        <v>99</v>
      </c>
      <c r="F47" s="881">
        <f>'INFRA E SUPER'!P29</f>
        <v>4686.4114</v>
      </c>
      <c r="G47" s="893">
        <f>K47</f>
        <v>13.76</v>
      </c>
      <c r="H47" s="883">
        <f>F47*G47</f>
        <v>64485.020863999998</v>
      </c>
      <c r="I47" s="844"/>
      <c r="J47" s="841">
        <v>10.87</v>
      </c>
      <c r="K47" s="842">
        <f t="shared" si="2"/>
        <v>13.76</v>
      </c>
    </row>
    <row r="48" spans="1:11" ht="38.25" customHeight="1" outlineLevel="1">
      <c r="A48" s="844"/>
      <c r="B48" s="444" t="s">
        <v>100</v>
      </c>
      <c r="C48" s="898" t="s">
        <v>101</v>
      </c>
      <c r="D48" s="443" t="s">
        <v>102</v>
      </c>
      <c r="E48" s="444" t="s">
        <v>99</v>
      </c>
      <c r="F48" s="881">
        <f>'INFRA E SUPER'!P30</f>
        <v>1443.14544</v>
      </c>
      <c r="G48" s="893">
        <f>K48</f>
        <v>15.16</v>
      </c>
      <c r="H48" s="883">
        <f>F48*G48</f>
        <v>21878.084870400002</v>
      </c>
      <c r="I48" s="844"/>
      <c r="J48" s="841">
        <v>11.97</v>
      </c>
      <c r="K48" s="842">
        <f t="shared" si="2"/>
        <v>15.16</v>
      </c>
    </row>
    <row r="49" spans="1:1026" ht="38.25" customHeight="1" outlineLevel="1">
      <c r="A49" s="844"/>
      <c r="B49" s="444" t="s">
        <v>103</v>
      </c>
      <c r="C49" s="898" t="s">
        <v>104</v>
      </c>
      <c r="D49" s="443" t="s">
        <v>105</v>
      </c>
      <c r="E49" s="444" t="s">
        <v>70</v>
      </c>
      <c r="F49" s="881">
        <f>'INFRA E SUPER'!F55</f>
        <v>124.54</v>
      </c>
      <c r="G49" s="893">
        <f>K49</f>
        <v>553.32000000000005</v>
      </c>
      <c r="H49" s="883">
        <f>F49*G49</f>
        <v>68910.472800000003</v>
      </c>
      <c r="I49" s="844"/>
      <c r="J49" s="841">
        <v>437.03</v>
      </c>
      <c r="K49" s="842">
        <f t="shared" si="2"/>
        <v>553.32000000000005</v>
      </c>
    </row>
    <row r="50" spans="1:1026" ht="38.25" customHeight="1" outlineLevel="1">
      <c r="A50" s="844"/>
      <c r="B50" s="444" t="s">
        <v>106</v>
      </c>
      <c r="C50" s="898" t="s">
        <v>107</v>
      </c>
      <c r="D50" s="443" t="s">
        <v>108</v>
      </c>
      <c r="E50" s="444" t="s">
        <v>70</v>
      </c>
      <c r="F50" s="881">
        <f>'INFRA E SUPER'!K67</f>
        <v>18.493500000000001</v>
      </c>
      <c r="G50" s="893">
        <f>K50</f>
        <v>595.59</v>
      </c>
      <c r="H50" s="883">
        <f>F50*G50</f>
        <v>11014.543665000001</v>
      </c>
      <c r="I50" s="844"/>
      <c r="J50" s="841">
        <v>470.41</v>
      </c>
      <c r="K50" s="842">
        <f t="shared" si="2"/>
        <v>595.59</v>
      </c>
    </row>
    <row r="51" spans="1:1026" ht="24.95" customHeight="1">
      <c r="A51" s="844"/>
      <c r="B51" s="875" t="s">
        <v>109</v>
      </c>
      <c r="C51" s="875"/>
      <c r="D51" s="447" t="s">
        <v>110</v>
      </c>
      <c r="E51" s="875"/>
      <c r="F51" s="876"/>
      <c r="G51" s="877"/>
      <c r="H51" s="878"/>
      <c r="I51" s="844"/>
    </row>
    <row r="52" spans="1:1026" s="824" customFormat="1" ht="24.95" customHeight="1" outlineLevel="1">
      <c r="A52" s="844"/>
      <c r="B52" s="444" t="s">
        <v>111</v>
      </c>
      <c r="C52" s="444"/>
      <c r="D52" s="899" t="s">
        <v>112</v>
      </c>
      <c r="E52" s="444"/>
      <c r="F52" s="881"/>
      <c r="G52" s="890"/>
      <c r="H52" s="883"/>
      <c r="I52" s="844"/>
      <c r="J52" s="841"/>
      <c r="K52" s="842"/>
      <c r="L52" s="832"/>
      <c r="M52" s="832"/>
      <c r="N52" s="832"/>
      <c r="O52" s="832"/>
      <c r="P52" s="832"/>
    </row>
    <row r="53" spans="1:1026" ht="54" customHeight="1" outlineLevel="1">
      <c r="A53" s="844"/>
      <c r="B53" s="444" t="s">
        <v>113</v>
      </c>
      <c r="C53" s="879" t="s">
        <v>114</v>
      </c>
      <c r="D53" s="443" t="s">
        <v>115</v>
      </c>
      <c r="E53" s="444" t="s">
        <v>27</v>
      </c>
      <c r="F53" s="881">
        <f>'INFRA E SUPER'!I95</f>
        <v>1400.7880000000002</v>
      </c>
      <c r="G53" s="893">
        <f t="shared" ref="G53:G60" si="3">K53</f>
        <v>94.89</v>
      </c>
      <c r="H53" s="883">
        <f t="shared" ref="H53:H60" si="4">F53*G53</f>
        <v>132920.77332000004</v>
      </c>
      <c r="I53" s="844"/>
      <c r="J53" s="841">
        <v>74.95</v>
      </c>
      <c r="K53" s="842">
        <f t="shared" si="2"/>
        <v>94.89</v>
      </c>
    </row>
    <row r="54" spans="1:1026" ht="36.75" customHeight="1" outlineLevel="1">
      <c r="A54" s="844"/>
      <c r="B54" s="444" t="s">
        <v>116</v>
      </c>
      <c r="C54" s="879" t="s">
        <v>117</v>
      </c>
      <c r="D54" s="443" t="s">
        <v>98</v>
      </c>
      <c r="E54" s="444" t="s">
        <v>99</v>
      </c>
      <c r="F54" s="881">
        <f>'INFRA E SUPER'!P83</f>
        <v>6874.004280000001</v>
      </c>
      <c r="G54" s="893">
        <f t="shared" si="3"/>
        <v>13.76</v>
      </c>
      <c r="H54" s="883">
        <f t="shared" si="4"/>
        <v>94586.298892800012</v>
      </c>
      <c r="I54" s="844"/>
      <c r="J54" s="841">
        <v>10.87</v>
      </c>
      <c r="K54" s="842">
        <f t="shared" si="2"/>
        <v>13.76</v>
      </c>
    </row>
    <row r="55" spans="1:1026" ht="39" customHeight="1" outlineLevel="1">
      <c r="A55" s="844"/>
      <c r="B55" s="444" t="s">
        <v>118</v>
      </c>
      <c r="C55" s="879" t="s">
        <v>119</v>
      </c>
      <c r="D55" s="443" t="s">
        <v>120</v>
      </c>
      <c r="E55" s="444" t="s">
        <v>99</v>
      </c>
      <c r="F55" s="881">
        <f>'INFRA E SUPER'!P84</f>
        <v>1205.3580000000002</v>
      </c>
      <c r="G55" s="893">
        <f t="shared" si="3"/>
        <v>13.79</v>
      </c>
      <c r="H55" s="883">
        <f t="shared" si="4"/>
        <v>16621.88682</v>
      </c>
      <c r="I55" s="844"/>
      <c r="J55" s="841">
        <v>10.89</v>
      </c>
      <c r="K55" s="842">
        <f t="shared" si="2"/>
        <v>13.79</v>
      </c>
    </row>
    <row r="56" spans="1:1026" ht="38.25" customHeight="1" outlineLevel="1">
      <c r="A56" s="844"/>
      <c r="B56" s="444" t="s">
        <v>121</v>
      </c>
      <c r="C56" s="879" t="s">
        <v>122</v>
      </c>
      <c r="D56" s="443" t="s">
        <v>102</v>
      </c>
      <c r="E56" s="444" t="s">
        <v>99</v>
      </c>
      <c r="F56" s="881">
        <f>'INFRA E SUPER'!P85</f>
        <v>2893.09</v>
      </c>
      <c r="G56" s="893">
        <f t="shared" si="3"/>
        <v>15.16</v>
      </c>
      <c r="H56" s="883">
        <f t="shared" si="4"/>
        <v>43859.244400000003</v>
      </c>
      <c r="I56" s="844"/>
      <c r="J56" s="841">
        <v>11.97</v>
      </c>
      <c r="K56" s="842">
        <f t="shared" si="2"/>
        <v>15.16</v>
      </c>
    </row>
    <row r="57" spans="1:1026" ht="48.75" customHeight="1" outlineLevel="1">
      <c r="A57" s="844"/>
      <c r="B57" s="444" t="s">
        <v>123</v>
      </c>
      <c r="C57" s="879" t="s">
        <v>124</v>
      </c>
      <c r="D57" s="443" t="s">
        <v>125</v>
      </c>
      <c r="E57" s="444" t="s">
        <v>70</v>
      </c>
      <c r="F57" s="881">
        <f>'INFRA E SUPER'!I115</f>
        <v>264.67882499999996</v>
      </c>
      <c r="G57" s="893">
        <f t="shared" si="3"/>
        <v>501.46</v>
      </c>
      <c r="H57" s="883">
        <f t="shared" si="4"/>
        <v>132725.84358449996</v>
      </c>
      <c r="I57" s="844"/>
      <c r="J57" s="841">
        <v>396.07</v>
      </c>
      <c r="K57" s="842">
        <f t="shared" si="2"/>
        <v>501.46</v>
      </c>
    </row>
    <row r="58" spans="1:1026" ht="55.5" customHeight="1" outlineLevel="1">
      <c r="A58" s="844"/>
      <c r="B58" s="444" t="s">
        <v>126</v>
      </c>
      <c r="C58" s="879" t="s">
        <v>127</v>
      </c>
      <c r="D58" s="443" t="s">
        <v>128</v>
      </c>
      <c r="E58" s="444" t="s">
        <v>70</v>
      </c>
      <c r="F58" s="881">
        <f>'INFRA E SUPER'!I114</f>
        <v>7.1693999999999996</v>
      </c>
      <c r="G58" s="893">
        <f t="shared" si="3"/>
        <v>485.3</v>
      </c>
      <c r="H58" s="883">
        <f t="shared" si="4"/>
        <v>3479.3098199999999</v>
      </c>
      <c r="I58" s="844"/>
      <c r="J58" s="841">
        <v>383.3</v>
      </c>
      <c r="K58" s="842">
        <f t="shared" si="2"/>
        <v>485.3</v>
      </c>
    </row>
    <row r="59" spans="1:1026" ht="50.25" customHeight="1" outlineLevel="1">
      <c r="A59" s="844"/>
      <c r="B59" s="444" t="s">
        <v>129</v>
      </c>
      <c r="C59" s="879" t="s">
        <v>130</v>
      </c>
      <c r="D59" s="443" t="s">
        <v>131</v>
      </c>
      <c r="E59" s="444" t="s">
        <v>27</v>
      </c>
      <c r="F59" s="881">
        <f>'INFRA E SUPER'!A119</f>
        <v>1310.1199999999999</v>
      </c>
      <c r="G59" s="893">
        <f t="shared" si="3"/>
        <v>47.63</v>
      </c>
      <c r="H59" s="883">
        <f t="shared" si="4"/>
        <v>62401.015599999999</v>
      </c>
      <c r="I59" s="844"/>
      <c r="J59" s="841">
        <v>37.619999999999997</v>
      </c>
      <c r="K59" s="842">
        <f t="shared" si="2"/>
        <v>47.63</v>
      </c>
    </row>
    <row r="60" spans="1:1026" ht="39.75" customHeight="1" outlineLevel="1">
      <c r="A60" s="844"/>
      <c r="B60" s="444" t="s">
        <v>132</v>
      </c>
      <c r="C60" s="879" t="s">
        <v>133</v>
      </c>
      <c r="D60" s="443" t="s">
        <v>134</v>
      </c>
      <c r="E60" s="444" t="s">
        <v>38</v>
      </c>
      <c r="F60" s="881">
        <f>Super!E49</f>
        <v>60</v>
      </c>
      <c r="G60" s="893">
        <f t="shared" si="3"/>
        <v>71.989999999999995</v>
      </c>
      <c r="H60" s="883">
        <f t="shared" si="4"/>
        <v>4319.3999999999996</v>
      </c>
      <c r="I60" s="844"/>
      <c r="J60" s="841">
        <v>56.86</v>
      </c>
      <c r="K60" s="842">
        <f t="shared" si="2"/>
        <v>71.989999999999995</v>
      </c>
    </row>
    <row r="61" spans="1:1026" s="825" customFormat="1" ht="24.95" customHeight="1" outlineLevel="1">
      <c r="A61" s="900"/>
      <c r="B61" s="901">
        <v>5</v>
      </c>
      <c r="C61" s="418"/>
      <c r="D61" s="902" t="s">
        <v>135</v>
      </c>
      <c r="E61" s="418"/>
      <c r="F61" s="903"/>
      <c r="G61" s="904"/>
      <c r="H61" s="905"/>
      <c r="I61" s="900"/>
      <c r="J61" s="917"/>
      <c r="K61" s="918"/>
    </row>
    <row r="62" spans="1:1026" s="825" customFormat="1" ht="24.95" customHeight="1" outlineLevel="1">
      <c r="A62" s="900"/>
      <c r="B62" s="901" t="s">
        <v>136</v>
      </c>
      <c r="C62" s="418"/>
      <c r="D62" s="902" t="s">
        <v>137</v>
      </c>
      <c r="E62" s="418"/>
      <c r="F62" s="903"/>
      <c r="G62" s="904"/>
      <c r="H62" s="905"/>
      <c r="I62" s="900"/>
      <c r="J62" s="917"/>
      <c r="K62" s="918"/>
    </row>
    <row r="63" spans="1:1026" ht="39" customHeight="1" outlineLevel="1">
      <c r="A63" s="844"/>
      <c r="B63" s="444" t="s">
        <v>138</v>
      </c>
      <c r="C63" s="879" t="s">
        <v>139</v>
      </c>
      <c r="D63" s="443" t="s">
        <v>140</v>
      </c>
      <c r="E63" s="444" t="s">
        <v>38</v>
      </c>
      <c r="F63" s="881">
        <f>'VERGAS CONTRAVERGAS'!G45</f>
        <v>411.91500000000002</v>
      </c>
      <c r="G63" s="893">
        <f>K63</f>
        <v>9.6999999999999993</v>
      </c>
      <c r="H63" s="883">
        <f>F63*G63</f>
        <v>3995.5754999999999</v>
      </c>
      <c r="I63" s="844"/>
      <c r="J63" s="841">
        <v>7.66</v>
      </c>
      <c r="K63" s="842">
        <f t="shared" si="2"/>
        <v>9.6999999999999993</v>
      </c>
    </row>
    <row r="64" spans="1:1026" s="826" customFormat="1" ht="24.95" customHeight="1">
      <c r="A64" s="900"/>
      <c r="B64" s="906" t="s">
        <v>141</v>
      </c>
      <c r="C64" s="907"/>
      <c r="D64" s="441" t="s">
        <v>142</v>
      </c>
      <c r="E64" s="418"/>
      <c r="F64" s="903"/>
      <c r="G64" s="908"/>
      <c r="H64" s="905"/>
      <c r="I64" s="900"/>
      <c r="J64" s="917"/>
      <c r="K64" s="918"/>
      <c r="L64" s="834"/>
      <c r="M64" s="834"/>
      <c r="N64" s="834"/>
      <c r="O64" s="834"/>
      <c r="P64" s="834"/>
      <c r="Q64" s="834"/>
      <c r="R64" s="834"/>
      <c r="S64" s="834"/>
      <c r="T64" s="834"/>
      <c r="U64" s="834"/>
      <c r="V64" s="834"/>
      <c r="W64" s="834"/>
      <c r="X64" s="834"/>
      <c r="Y64" s="834"/>
      <c r="Z64" s="834"/>
      <c r="AA64" s="834"/>
      <c r="AB64" s="834"/>
      <c r="AC64" s="834"/>
      <c r="AD64" s="834"/>
      <c r="AE64" s="834"/>
      <c r="AF64" s="834"/>
      <c r="AG64" s="834"/>
      <c r="AH64" s="834"/>
      <c r="AI64" s="834"/>
      <c r="AJ64" s="834"/>
      <c r="AK64" s="834"/>
      <c r="AL64" s="834"/>
      <c r="AM64" s="834"/>
      <c r="AN64" s="834"/>
      <c r="AO64" s="834"/>
      <c r="AP64" s="834"/>
      <c r="AQ64" s="834"/>
      <c r="AR64" s="834"/>
      <c r="AS64" s="834"/>
      <c r="AT64" s="834"/>
      <c r="AU64" s="834"/>
      <c r="AV64" s="834"/>
      <c r="AW64" s="834"/>
      <c r="AX64" s="834"/>
      <c r="AY64" s="834"/>
      <c r="AZ64" s="834"/>
      <c r="BA64" s="834"/>
      <c r="BB64" s="834"/>
      <c r="BC64" s="834"/>
      <c r="BD64" s="834"/>
      <c r="BE64" s="834"/>
      <c r="BF64" s="834"/>
      <c r="BG64" s="834"/>
      <c r="BH64" s="834"/>
      <c r="BI64" s="834"/>
      <c r="BJ64" s="834"/>
      <c r="BK64" s="834"/>
      <c r="BL64" s="834"/>
      <c r="BM64" s="834"/>
      <c r="BN64" s="834"/>
      <c r="BO64" s="834"/>
      <c r="BP64" s="834"/>
      <c r="BQ64" s="834"/>
      <c r="BR64" s="834"/>
      <c r="BS64" s="834"/>
      <c r="BT64" s="834"/>
      <c r="BU64" s="834"/>
      <c r="BV64" s="834"/>
      <c r="BW64" s="834"/>
      <c r="BX64" s="834"/>
      <c r="BY64" s="834"/>
      <c r="BZ64" s="834"/>
      <c r="CA64" s="834"/>
      <c r="CB64" s="834"/>
      <c r="CC64" s="834"/>
      <c r="CD64" s="834"/>
      <c r="CE64" s="834"/>
      <c r="CF64" s="834"/>
      <c r="CG64" s="834"/>
      <c r="CH64" s="834"/>
      <c r="CI64" s="834"/>
      <c r="CJ64" s="834"/>
      <c r="CK64" s="834"/>
      <c r="CL64" s="834"/>
      <c r="CM64" s="834"/>
      <c r="CN64" s="834"/>
      <c r="CO64" s="834"/>
      <c r="CP64" s="834"/>
      <c r="CQ64" s="834"/>
      <c r="CR64" s="834"/>
      <c r="CS64" s="834"/>
      <c r="CT64" s="834"/>
      <c r="CU64" s="834"/>
      <c r="CV64" s="834"/>
      <c r="CW64" s="834"/>
      <c r="CX64" s="834"/>
      <c r="CY64" s="834"/>
      <c r="CZ64" s="834"/>
      <c r="DA64" s="834"/>
      <c r="DB64" s="834"/>
      <c r="DC64" s="834"/>
      <c r="DD64" s="834"/>
      <c r="DE64" s="834"/>
      <c r="DF64" s="834"/>
      <c r="DG64" s="834"/>
      <c r="DH64" s="834"/>
      <c r="DI64" s="834"/>
      <c r="DJ64" s="834"/>
      <c r="DK64" s="834"/>
      <c r="DL64" s="834"/>
      <c r="DM64" s="834"/>
      <c r="DN64" s="834"/>
      <c r="DO64" s="834"/>
      <c r="DP64" s="834"/>
      <c r="DQ64" s="834"/>
      <c r="DR64" s="834"/>
      <c r="DS64" s="834"/>
      <c r="DT64" s="834"/>
      <c r="DU64" s="834"/>
      <c r="DV64" s="834"/>
      <c r="DW64" s="834"/>
      <c r="DX64" s="834"/>
      <c r="DY64" s="834"/>
      <c r="DZ64" s="834"/>
      <c r="EA64" s="834"/>
      <c r="EB64" s="834"/>
      <c r="EC64" s="834"/>
      <c r="ED64" s="834"/>
      <c r="EE64" s="834"/>
      <c r="EF64" s="834"/>
      <c r="EG64" s="834"/>
      <c r="EH64" s="834"/>
      <c r="EI64" s="834"/>
      <c r="EJ64" s="834"/>
      <c r="EK64" s="834"/>
      <c r="EL64" s="834"/>
      <c r="EM64" s="834"/>
      <c r="EN64" s="834"/>
      <c r="EO64" s="834"/>
      <c r="EP64" s="834"/>
      <c r="EQ64" s="834"/>
      <c r="ER64" s="834"/>
      <c r="ES64" s="834"/>
      <c r="ET64" s="834"/>
      <c r="EU64" s="834"/>
      <c r="EV64" s="834"/>
      <c r="EW64" s="834"/>
      <c r="EX64" s="834"/>
      <c r="EY64" s="834"/>
      <c r="EZ64" s="834"/>
      <c r="FA64" s="834"/>
      <c r="FB64" s="834"/>
      <c r="FC64" s="834"/>
      <c r="FD64" s="834"/>
      <c r="FE64" s="834"/>
      <c r="FF64" s="834"/>
      <c r="FG64" s="834"/>
      <c r="FH64" s="834"/>
      <c r="FI64" s="834"/>
      <c r="FJ64" s="834"/>
      <c r="FK64" s="834"/>
      <c r="FL64" s="834"/>
      <c r="FM64" s="834"/>
      <c r="FN64" s="834"/>
      <c r="FO64" s="834"/>
      <c r="FP64" s="834"/>
      <c r="FQ64" s="834"/>
      <c r="FR64" s="834"/>
      <c r="FS64" s="834"/>
      <c r="FT64" s="834"/>
      <c r="FU64" s="834"/>
      <c r="FV64" s="834"/>
      <c r="FW64" s="834"/>
      <c r="FX64" s="834"/>
      <c r="FY64" s="834"/>
      <c r="FZ64" s="834"/>
      <c r="GA64" s="834"/>
      <c r="GB64" s="834"/>
      <c r="GC64" s="834"/>
      <c r="GD64" s="834"/>
      <c r="GE64" s="834"/>
      <c r="GF64" s="834"/>
      <c r="GG64" s="834"/>
      <c r="GH64" s="834"/>
      <c r="GI64" s="834"/>
      <c r="GJ64" s="834"/>
      <c r="GK64" s="834"/>
      <c r="GL64" s="834"/>
      <c r="GM64" s="834"/>
      <c r="GN64" s="834"/>
      <c r="GO64" s="834"/>
      <c r="GP64" s="834"/>
      <c r="GQ64" s="834"/>
      <c r="GR64" s="834"/>
      <c r="GS64" s="834"/>
      <c r="GT64" s="834"/>
      <c r="GU64" s="834"/>
      <c r="GV64" s="834"/>
      <c r="GW64" s="834"/>
      <c r="GX64" s="834"/>
      <c r="GY64" s="834"/>
      <c r="GZ64" s="834"/>
      <c r="HA64" s="834"/>
      <c r="HB64" s="834"/>
      <c r="HC64" s="834"/>
      <c r="HD64" s="834"/>
      <c r="HE64" s="834"/>
      <c r="HF64" s="834"/>
      <c r="HG64" s="834"/>
      <c r="HH64" s="834"/>
      <c r="HI64" s="834"/>
      <c r="HJ64" s="834"/>
      <c r="HK64" s="834"/>
      <c r="HL64" s="834"/>
      <c r="HM64" s="834"/>
      <c r="HN64" s="834"/>
      <c r="HO64" s="834"/>
      <c r="HP64" s="834"/>
      <c r="HQ64" s="834"/>
      <c r="HR64" s="834"/>
      <c r="HS64" s="834"/>
      <c r="HT64" s="834"/>
      <c r="HU64" s="834"/>
      <c r="HV64" s="834"/>
      <c r="HW64" s="834"/>
      <c r="HX64" s="834"/>
      <c r="HY64" s="834"/>
      <c r="HZ64" s="834"/>
      <c r="IA64" s="834"/>
      <c r="IB64" s="834"/>
      <c r="IC64" s="834"/>
      <c r="ID64" s="834"/>
      <c r="IE64" s="834"/>
      <c r="IF64" s="834"/>
      <c r="IG64" s="834"/>
      <c r="IH64" s="834"/>
      <c r="II64" s="834"/>
      <c r="IJ64" s="834"/>
      <c r="IK64" s="834"/>
      <c r="IL64" s="834"/>
      <c r="IM64" s="834"/>
      <c r="IN64" s="834"/>
      <c r="IO64" s="834"/>
      <c r="IP64" s="834"/>
      <c r="IQ64" s="834"/>
      <c r="IR64" s="834"/>
      <c r="IS64" s="834"/>
      <c r="IT64" s="834"/>
      <c r="IU64" s="834"/>
      <c r="IV64" s="834"/>
      <c r="IW64" s="834"/>
      <c r="IX64" s="834"/>
      <c r="IY64" s="834"/>
      <c r="IZ64" s="834"/>
      <c r="JA64" s="834"/>
      <c r="JB64" s="834"/>
      <c r="JC64" s="834"/>
      <c r="JD64" s="834"/>
      <c r="JE64" s="834"/>
      <c r="JF64" s="834"/>
      <c r="JG64" s="834"/>
      <c r="JH64" s="834"/>
      <c r="JI64" s="834"/>
      <c r="JJ64" s="834"/>
      <c r="JK64" s="834"/>
      <c r="JL64" s="834"/>
      <c r="JM64" s="834"/>
      <c r="JN64" s="834"/>
      <c r="JO64" s="834"/>
      <c r="JP64" s="834"/>
      <c r="JQ64" s="834"/>
      <c r="JR64" s="834"/>
      <c r="JS64" s="834"/>
      <c r="JT64" s="834"/>
      <c r="JU64" s="834"/>
      <c r="JV64" s="834"/>
      <c r="JW64" s="834"/>
      <c r="JX64" s="834"/>
      <c r="JY64" s="834"/>
      <c r="JZ64" s="834"/>
      <c r="KA64" s="834"/>
      <c r="KB64" s="834"/>
      <c r="KC64" s="834"/>
      <c r="KD64" s="834"/>
      <c r="KE64" s="834"/>
      <c r="KF64" s="834"/>
      <c r="KG64" s="834"/>
      <c r="KH64" s="834"/>
      <c r="KI64" s="834"/>
      <c r="KJ64" s="834"/>
      <c r="KK64" s="834"/>
      <c r="KL64" s="834"/>
      <c r="KM64" s="834"/>
      <c r="KN64" s="834"/>
      <c r="KO64" s="834"/>
      <c r="KP64" s="834"/>
      <c r="KQ64" s="834"/>
      <c r="KR64" s="834"/>
      <c r="KS64" s="834"/>
      <c r="KT64" s="834"/>
      <c r="KU64" s="834"/>
      <c r="KV64" s="834"/>
      <c r="KW64" s="834"/>
      <c r="KX64" s="834"/>
      <c r="KY64" s="834"/>
      <c r="KZ64" s="834"/>
      <c r="LA64" s="834"/>
      <c r="LB64" s="834"/>
      <c r="LC64" s="834"/>
      <c r="LD64" s="834"/>
      <c r="LE64" s="834"/>
      <c r="LF64" s="834"/>
      <c r="LG64" s="834"/>
      <c r="LH64" s="834"/>
      <c r="LI64" s="834"/>
      <c r="LJ64" s="834"/>
      <c r="LK64" s="834"/>
      <c r="LL64" s="834"/>
      <c r="LM64" s="834"/>
      <c r="LN64" s="834"/>
      <c r="LO64" s="834"/>
      <c r="LP64" s="834"/>
      <c r="LQ64" s="834"/>
      <c r="LR64" s="834"/>
      <c r="LS64" s="834"/>
      <c r="LT64" s="834"/>
      <c r="LU64" s="834"/>
      <c r="LV64" s="834"/>
      <c r="LW64" s="834"/>
      <c r="LX64" s="834"/>
      <c r="LY64" s="834"/>
      <c r="LZ64" s="834"/>
      <c r="MA64" s="834"/>
      <c r="MB64" s="834"/>
      <c r="MC64" s="834"/>
      <c r="MD64" s="834"/>
      <c r="ME64" s="834"/>
      <c r="MF64" s="834"/>
      <c r="MG64" s="834"/>
      <c r="MH64" s="834"/>
      <c r="MI64" s="834"/>
      <c r="MJ64" s="834"/>
      <c r="MK64" s="834"/>
      <c r="ML64" s="834"/>
      <c r="MM64" s="834"/>
      <c r="MN64" s="834"/>
      <c r="MO64" s="834"/>
      <c r="MP64" s="834"/>
      <c r="MQ64" s="834"/>
      <c r="MR64" s="834"/>
      <c r="MS64" s="834"/>
      <c r="MT64" s="834"/>
      <c r="MU64" s="834"/>
      <c r="MV64" s="834"/>
      <c r="MW64" s="834"/>
      <c r="MX64" s="834"/>
      <c r="MY64" s="834"/>
      <c r="MZ64" s="834"/>
      <c r="NA64" s="834"/>
      <c r="NB64" s="834"/>
      <c r="NC64" s="834"/>
      <c r="ND64" s="834"/>
      <c r="NE64" s="834"/>
      <c r="NF64" s="834"/>
      <c r="NG64" s="834"/>
      <c r="NH64" s="834"/>
      <c r="NI64" s="834"/>
      <c r="NJ64" s="834"/>
      <c r="NK64" s="834"/>
      <c r="NL64" s="834"/>
      <c r="NM64" s="834"/>
      <c r="NN64" s="834"/>
      <c r="NO64" s="834"/>
      <c r="NP64" s="834"/>
      <c r="NQ64" s="834"/>
      <c r="NR64" s="834"/>
      <c r="NS64" s="834"/>
      <c r="NT64" s="834"/>
      <c r="NU64" s="834"/>
      <c r="NV64" s="834"/>
      <c r="NW64" s="834"/>
      <c r="NX64" s="834"/>
      <c r="NY64" s="834"/>
      <c r="NZ64" s="834"/>
      <c r="OA64" s="834"/>
      <c r="OB64" s="834"/>
      <c r="OC64" s="834"/>
      <c r="OD64" s="834"/>
      <c r="OE64" s="834"/>
      <c r="OF64" s="834"/>
      <c r="OG64" s="834"/>
      <c r="OH64" s="834"/>
      <c r="OI64" s="834"/>
      <c r="OJ64" s="834"/>
      <c r="OK64" s="834"/>
      <c r="OL64" s="834"/>
      <c r="OM64" s="834"/>
      <c r="ON64" s="834"/>
      <c r="OO64" s="834"/>
      <c r="OP64" s="834"/>
      <c r="OQ64" s="834"/>
      <c r="OR64" s="834"/>
      <c r="OS64" s="834"/>
      <c r="OT64" s="834"/>
      <c r="OU64" s="834"/>
      <c r="OV64" s="834"/>
      <c r="OW64" s="834"/>
      <c r="OX64" s="834"/>
      <c r="OY64" s="834"/>
      <c r="OZ64" s="834"/>
      <c r="PA64" s="834"/>
      <c r="PB64" s="834"/>
      <c r="PC64" s="834"/>
      <c r="PD64" s="834"/>
      <c r="PE64" s="834"/>
      <c r="PF64" s="834"/>
      <c r="PG64" s="834"/>
      <c r="PH64" s="834"/>
      <c r="PI64" s="834"/>
      <c r="PJ64" s="834"/>
      <c r="PK64" s="834"/>
      <c r="PL64" s="834"/>
      <c r="PM64" s="834"/>
      <c r="PN64" s="834"/>
      <c r="PO64" s="834"/>
      <c r="PP64" s="834"/>
      <c r="PQ64" s="834"/>
      <c r="PR64" s="834"/>
      <c r="PS64" s="834"/>
      <c r="PT64" s="834"/>
      <c r="PU64" s="834"/>
      <c r="PV64" s="834"/>
      <c r="PW64" s="834"/>
      <c r="PX64" s="834"/>
      <c r="PY64" s="834"/>
      <c r="PZ64" s="834"/>
      <c r="QA64" s="834"/>
      <c r="QB64" s="834"/>
      <c r="QC64" s="834"/>
      <c r="QD64" s="834"/>
      <c r="QE64" s="834"/>
      <c r="QF64" s="834"/>
      <c r="QG64" s="834"/>
      <c r="QH64" s="834"/>
      <c r="QI64" s="834"/>
      <c r="QJ64" s="834"/>
      <c r="QK64" s="834"/>
      <c r="QL64" s="834"/>
      <c r="QM64" s="834"/>
      <c r="QN64" s="834"/>
      <c r="QO64" s="834"/>
      <c r="QP64" s="834"/>
      <c r="QQ64" s="834"/>
      <c r="QR64" s="834"/>
      <c r="QS64" s="834"/>
      <c r="QT64" s="834"/>
      <c r="QU64" s="834"/>
      <c r="QV64" s="834"/>
      <c r="QW64" s="834"/>
      <c r="QX64" s="834"/>
      <c r="QY64" s="834"/>
      <c r="QZ64" s="834"/>
      <c r="RA64" s="834"/>
      <c r="RB64" s="834"/>
      <c r="RC64" s="834"/>
      <c r="RD64" s="834"/>
      <c r="RE64" s="834"/>
      <c r="RF64" s="834"/>
      <c r="RG64" s="834"/>
      <c r="RH64" s="834"/>
      <c r="RI64" s="834"/>
      <c r="RJ64" s="834"/>
      <c r="RK64" s="834"/>
      <c r="RL64" s="834"/>
      <c r="RM64" s="834"/>
      <c r="RN64" s="834"/>
      <c r="RO64" s="834"/>
      <c r="RP64" s="834"/>
      <c r="RQ64" s="834"/>
      <c r="RR64" s="834"/>
      <c r="RS64" s="834"/>
      <c r="RT64" s="834"/>
      <c r="RU64" s="834"/>
      <c r="RV64" s="834"/>
      <c r="RW64" s="834"/>
      <c r="RX64" s="834"/>
      <c r="RY64" s="834"/>
      <c r="RZ64" s="834"/>
      <c r="SA64" s="834"/>
      <c r="SB64" s="834"/>
      <c r="SC64" s="834"/>
      <c r="SD64" s="834"/>
      <c r="SE64" s="834"/>
      <c r="SF64" s="834"/>
      <c r="SG64" s="834"/>
      <c r="SH64" s="834"/>
      <c r="SI64" s="834"/>
      <c r="SJ64" s="834"/>
      <c r="SK64" s="834"/>
      <c r="SL64" s="834"/>
      <c r="SM64" s="834"/>
      <c r="SN64" s="834"/>
      <c r="SO64" s="834"/>
      <c r="SP64" s="834"/>
      <c r="SQ64" s="834"/>
      <c r="SR64" s="834"/>
      <c r="SS64" s="834"/>
      <c r="ST64" s="834"/>
      <c r="SU64" s="834"/>
      <c r="SV64" s="834"/>
      <c r="SW64" s="834"/>
      <c r="SX64" s="834"/>
      <c r="SY64" s="834"/>
      <c r="SZ64" s="834"/>
      <c r="TA64" s="834"/>
      <c r="TB64" s="834"/>
      <c r="TC64" s="834"/>
      <c r="TD64" s="834"/>
      <c r="TE64" s="834"/>
      <c r="TF64" s="834"/>
      <c r="TG64" s="834"/>
      <c r="TH64" s="834"/>
      <c r="TI64" s="834"/>
      <c r="TJ64" s="834"/>
      <c r="TK64" s="834"/>
      <c r="TL64" s="834"/>
      <c r="TM64" s="834"/>
      <c r="TN64" s="834"/>
      <c r="TO64" s="834"/>
      <c r="TP64" s="834"/>
      <c r="TQ64" s="834"/>
      <c r="TR64" s="834"/>
      <c r="TS64" s="834"/>
      <c r="TT64" s="834"/>
      <c r="TU64" s="834"/>
      <c r="TV64" s="834"/>
      <c r="TW64" s="834"/>
      <c r="TX64" s="834"/>
      <c r="TY64" s="834"/>
      <c r="TZ64" s="834"/>
      <c r="UA64" s="834"/>
      <c r="UB64" s="834"/>
      <c r="UC64" s="834"/>
      <c r="UD64" s="834"/>
      <c r="UE64" s="834"/>
      <c r="UF64" s="834"/>
      <c r="UG64" s="834"/>
      <c r="UH64" s="834"/>
      <c r="UI64" s="834"/>
      <c r="UJ64" s="834"/>
      <c r="UK64" s="834"/>
      <c r="UL64" s="834"/>
      <c r="UM64" s="834"/>
      <c r="UN64" s="834"/>
      <c r="UO64" s="834"/>
      <c r="UP64" s="834"/>
      <c r="UQ64" s="834"/>
      <c r="UR64" s="834"/>
      <c r="US64" s="834"/>
      <c r="UT64" s="834"/>
      <c r="UU64" s="834"/>
      <c r="UV64" s="834"/>
      <c r="UW64" s="834"/>
      <c r="UX64" s="834"/>
      <c r="UY64" s="834"/>
      <c r="UZ64" s="834"/>
      <c r="VA64" s="834"/>
      <c r="VB64" s="834"/>
      <c r="VC64" s="834"/>
      <c r="VD64" s="834"/>
      <c r="VE64" s="834"/>
      <c r="VF64" s="834"/>
      <c r="VG64" s="834"/>
      <c r="VH64" s="834"/>
      <c r="VI64" s="834"/>
      <c r="VJ64" s="834"/>
      <c r="VK64" s="834"/>
      <c r="VL64" s="834"/>
      <c r="VM64" s="834"/>
      <c r="VN64" s="834"/>
      <c r="VO64" s="834"/>
      <c r="VP64" s="834"/>
      <c r="VQ64" s="834"/>
      <c r="VR64" s="834"/>
      <c r="VS64" s="834"/>
      <c r="VT64" s="834"/>
      <c r="VU64" s="834"/>
      <c r="VV64" s="834"/>
      <c r="VW64" s="834"/>
      <c r="VX64" s="834"/>
      <c r="VY64" s="834"/>
      <c r="VZ64" s="834"/>
      <c r="WA64" s="834"/>
      <c r="WB64" s="834"/>
      <c r="WC64" s="834"/>
      <c r="WD64" s="834"/>
      <c r="WE64" s="834"/>
      <c r="WF64" s="834"/>
      <c r="WG64" s="834"/>
      <c r="WH64" s="834"/>
      <c r="WI64" s="834"/>
      <c r="WJ64" s="834"/>
      <c r="WK64" s="834"/>
      <c r="WL64" s="834"/>
      <c r="WM64" s="834"/>
      <c r="WN64" s="834"/>
      <c r="WO64" s="834"/>
      <c r="WP64" s="834"/>
      <c r="WQ64" s="834"/>
      <c r="WR64" s="834"/>
      <c r="WS64" s="834"/>
      <c r="WT64" s="834"/>
      <c r="WU64" s="834"/>
      <c r="WV64" s="834"/>
      <c r="WW64" s="834"/>
      <c r="WX64" s="834"/>
      <c r="WY64" s="834"/>
      <c r="WZ64" s="834"/>
      <c r="XA64" s="834"/>
      <c r="XB64" s="834"/>
      <c r="XC64" s="834"/>
      <c r="XD64" s="834"/>
      <c r="XE64" s="834"/>
      <c r="XF64" s="834"/>
      <c r="XG64" s="834"/>
      <c r="XH64" s="834"/>
      <c r="XI64" s="834"/>
      <c r="XJ64" s="834"/>
      <c r="XK64" s="834"/>
      <c r="XL64" s="834"/>
      <c r="XM64" s="834"/>
      <c r="XN64" s="834"/>
      <c r="XO64" s="834"/>
      <c r="XP64" s="834"/>
      <c r="XQ64" s="834"/>
      <c r="XR64" s="834"/>
      <c r="XS64" s="834"/>
      <c r="XT64" s="834"/>
      <c r="XU64" s="834"/>
      <c r="XV64" s="834"/>
      <c r="XW64" s="834"/>
      <c r="XX64" s="834"/>
      <c r="XY64" s="834"/>
      <c r="XZ64" s="834"/>
      <c r="YA64" s="834"/>
      <c r="YB64" s="834"/>
      <c r="YC64" s="834"/>
      <c r="YD64" s="834"/>
      <c r="YE64" s="834"/>
      <c r="YF64" s="834"/>
      <c r="YG64" s="834"/>
      <c r="YH64" s="834"/>
      <c r="YI64" s="834"/>
      <c r="YJ64" s="834"/>
      <c r="YK64" s="834"/>
      <c r="YL64" s="834"/>
      <c r="YM64" s="834"/>
      <c r="YN64" s="834"/>
      <c r="YO64" s="834"/>
      <c r="YP64" s="834"/>
      <c r="YQ64" s="834"/>
      <c r="YR64" s="834"/>
      <c r="YS64" s="834"/>
      <c r="YT64" s="834"/>
      <c r="YU64" s="834"/>
      <c r="YV64" s="834"/>
      <c r="YW64" s="834"/>
      <c r="YX64" s="834"/>
      <c r="YY64" s="834"/>
      <c r="YZ64" s="834"/>
      <c r="ZA64" s="834"/>
      <c r="ZB64" s="834"/>
      <c r="ZC64" s="834"/>
      <c r="ZD64" s="834"/>
      <c r="ZE64" s="834"/>
      <c r="ZF64" s="834"/>
      <c r="ZG64" s="834"/>
      <c r="ZH64" s="834"/>
      <c r="ZI64" s="834"/>
      <c r="ZJ64" s="834"/>
      <c r="ZK64" s="834"/>
      <c r="ZL64" s="834"/>
      <c r="ZM64" s="834"/>
      <c r="ZN64" s="834"/>
      <c r="ZO64" s="834"/>
      <c r="ZP64" s="834"/>
      <c r="ZQ64" s="834"/>
      <c r="ZR64" s="834"/>
      <c r="ZS64" s="834"/>
      <c r="ZT64" s="834"/>
      <c r="ZU64" s="834"/>
      <c r="ZV64" s="834"/>
      <c r="ZW64" s="834"/>
      <c r="ZX64" s="834"/>
      <c r="ZY64" s="834"/>
      <c r="ZZ64" s="834"/>
      <c r="AAA64" s="834"/>
      <c r="AAB64" s="834"/>
      <c r="AAC64" s="834"/>
      <c r="AAD64" s="834"/>
      <c r="AAE64" s="834"/>
      <c r="AAF64" s="834"/>
      <c r="AAG64" s="834"/>
      <c r="AAH64" s="834"/>
      <c r="AAI64" s="834"/>
      <c r="AAJ64" s="834"/>
      <c r="AAK64" s="834"/>
      <c r="AAL64" s="834"/>
      <c r="AAM64" s="834"/>
      <c r="AAN64" s="834"/>
      <c r="AAO64" s="834"/>
      <c r="AAP64" s="834"/>
      <c r="AAQ64" s="834"/>
      <c r="AAR64" s="834"/>
      <c r="AAS64" s="834"/>
      <c r="AAT64" s="834"/>
      <c r="AAU64" s="834"/>
      <c r="AAV64" s="834"/>
      <c r="AAW64" s="834"/>
      <c r="AAX64" s="834"/>
      <c r="AAY64" s="834"/>
      <c r="AAZ64" s="834"/>
      <c r="ABA64" s="834"/>
      <c r="ABB64" s="834"/>
      <c r="ABC64" s="834"/>
      <c r="ABD64" s="834"/>
      <c r="ABE64" s="834"/>
      <c r="ABF64" s="834"/>
      <c r="ABG64" s="834"/>
      <c r="ABH64" s="834"/>
      <c r="ABI64" s="834"/>
      <c r="ABJ64" s="834"/>
      <c r="ABK64" s="834"/>
      <c r="ABL64" s="834"/>
      <c r="ABM64" s="834"/>
      <c r="ABN64" s="834"/>
      <c r="ABO64" s="834"/>
      <c r="ABP64" s="834"/>
      <c r="ABQ64" s="834"/>
      <c r="ABR64" s="834"/>
      <c r="ABS64" s="834"/>
      <c r="ABT64" s="834"/>
      <c r="ABU64" s="834"/>
      <c r="ABV64" s="834"/>
      <c r="ABW64" s="834"/>
      <c r="ABX64" s="834"/>
      <c r="ABY64" s="834"/>
      <c r="ABZ64" s="834"/>
      <c r="ACA64" s="834"/>
      <c r="ACB64" s="834"/>
      <c r="ACC64" s="834"/>
      <c r="ACD64" s="834"/>
      <c r="ACE64" s="834"/>
      <c r="ACF64" s="834"/>
      <c r="ACG64" s="834"/>
      <c r="ACH64" s="834"/>
      <c r="ACI64" s="834"/>
      <c r="ACJ64" s="834"/>
      <c r="ACK64" s="834"/>
      <c r="ACL64" s="834"/>
      <c r="ACM64" s="834"/>
      <c r="ACN64" s="834"/>
      <c r="ACO64" s="834"/>
      <c r="ACP64" s="834"/>
      <c r="ACQ64" s="834"/>
      <c r="ACR64" s="834"/>
      <c r="ACS64" s="834"/>
      <c r="ACT64" s="834"/>
      <c r="ACU64" s="834"/>
      <c r="ACV64" s="834"/>
      <c r="ACW64" s="834"/>
      <c r="ACX64" s="834"/>
      <c r="ACY64" s="834"/>
      <c r="ACZ64" s="834"/>
      <c r="ADA64" s="834"/>
      <c r="ADB64" s="834"/>
      <c r="ADC64" s="834"/>
      <c r="ADD64" s="834"/>
      <c r="ADE64" s="834"/>
      <c r="ADF64" s="834"/>
      <c r="ADG64" s="834"/>
      <c r="ADH64" s="834"/>
      <c r="ADI64" s="834"/>
      <c r="ADJ64" s="834"/>
      <c r="ADK64" s="834"/>
      <c r="ADL64" s="834"/>
      <c r="ADM64" s="834"/>
      <c r="ADN64" s="834"/>
      <c r="ADO64" s="834"/>
      <c r="ADP64" s="834"/>
      <c r="ADQ64" s="834"/>
      <c r="ADR64" s="834"/>
      <c r="ADS64" s="834"/>
      <c r="ADT64" s="834"/>
      <c r="ADU64" s="834"/>
      <c r="ADV64" s="834"/>
      <c r="ADW64" s="834"/>
      <c r="ADX64" s="834"/>
      <c r="ADY64" s="834"/>
      <c r="ADZ64" s="834"/>
      <c r="AEA64" s="834"/>
      <c r="AEB64" s="834"/>
      <c r="AEC64" s="834"/>
      <c r="AED64" s="834"/>
      <c r="AEE64" s="834"/>
      <c r="AEF64" s="834"/>
      <c r="AEG64" s="834"/>
      <c r="AEH64" s="834"/>
      <c r="AEI64" s="834"/>
      <c r="AEJ64" s="834"/>
      <c r="AEK64" s="834"/>
      <c r="AEL64" s="834"/>
      <c r="AEM64" s="834"/>
      <c r="AEN64" s="834"/>
      <c r="AEO64" s="834"/>
      <c r="AEP64" s="834"/>
      <c r="AEQ64" s="834"/>
      <c r="AER64" s="834"/>
      <c r="AES64" s="834"/>
      <c r="AET64" s="834"/>
      <c r="AEU64" s="834"/>
      <c r="AEV64" s="834"/>
      <c r="AEW64" s="834"/>
      <c r="AEX64" s="834"/>
      <c r="AEY64" s="834"/>
      <c r="AEZ64" s="834"/>
      <c r="AFA64" s="834"/>
      <c r="AFB64" s="834"/>
      <c r="AFC64" s="834"/>
      <c r="AFD64" s="834"/>
      <c r="AFE64" s="834"/>
      <c r="AFF64" s="834"/>
      <c r="AFG64" s="834"/>
      <c r="AFH64" s="834"/>
      <c r="AFI64" s="834"/>
      <c r="AFJ64" s="834"/>
      <c r="AFK64" s="834"/>
      <c r="AFL64" s="834"/>
      <c r="AFM64" s="834"/>
      <c r="AFN64" s="834"/>
      <c r="AFO64" s="834"/>
      <c r="AFP64" s="834"/>
      <c r="AFQ64" s="834"/>
      <c r="AFR64" s="834"/>
      <c r="AFS64" s="834"/>
      <c r="AFT64" s="834"/>
      <c r="AFU64" s="834"/>
      <c r="AFV64" s="834"/>
      <c r="AFW64" s="834"/>
      <c r="AFX64" s="834"/>
      <c r="AFY64" s="834"/>
      <c r="AFZ64" s="834"/>
      <c r="AGA64" s="834"/>
      <c r="AGB64" s="834"/>
      <c r="AGC64" s="834"/>
      <c r="AGD64" s="834"/>
      <c r="AGE64" s="834"/>
      <c r="AGF64" s="834"/>
      <c r="AGG64" s="834"/>
      <c r="AGH64" s="834"/>
      <c r="AGI64" s="834"/>
      <c r="AGJ64" s="834"/>
      <c r="AGK64" s="834"/>
      <c r="AGL64" s="834"/>
      <c r="AGM64" s="834"/>
      <c r="AGN64" s="834"/>
      <c r="AGO64" s="834"/>
      <c r="AGP64" s="834"/>
      <c r="AGQ64" s="834"/>
      <c r="AGR64" s="834"/>
      <c r="AGS64" s="834"/>
      <c r="AGT64" s="834"/>
      <c r="AGU64" s="834"/>
      <c r="AGV64" s="834"/>
      <c r="AGW64" s="834"/>
      <c r="AGX64" s="834"/>
      <c r="AGY64" s="834"/>
      <c r="AGZ64" s="834"/>
      <c r="AHA64" s="834"/>
      <c r="AHB64" s="834"/>
      <c r="AHC64" s="834"/>
      <c r="AHD64" s="834"/>
      <c r="AHE64" s="834"/>
      <c r="AHF64" s="834"/>
      <c r="AHG64" s="834"/>
      <c r="AHH64" s="834"/>
      <c r="AHI64" s="834"/>
      <c r="AHJ64" s="834"/>
      <c r="AHK64" s="834"/>
      <c r="AHL64" s="834"/>
      <c r="AHM64" s="834"/>
      <c r="AHN64" s="834"/>
      <c r="AHO64" s="834"/>
      <c r="AHP64" s="834"/>
      <c r="AHQ64" s="834"/>
      <c r="AHR64" s="834"/>
      <c r="AHS64" s="834"/>
      <c r="AHT64" s="834"/>
      <c r="AHU64" s="834"/>
      <c r="AHV64" s="834"/>
      <c r="AHW64" s="834"/>
      <c r="AHX64" s="834"/>
      <c r="AHY64" s="834"/>
      <c r="AHZ64" s="834"/>
      <c r="AIA64" s="834"/>
      <c r="AIB64" s="834"/>
      <c r="AIC64" s="834"/>
      <c r="AID64" s="834"/>
      <c r="AIE64" s="834"/>
      <c r="AIF64" s="834"/>
      <c r="AIG64" s="834"/>
      <c r="AIH64" s="834"/>
      <c r="AII64" s="834"/>
      <c r="AIJ64" s="834"/>
      <c r="AIK64" s="834"/>
      <c r="AIL64" s="834"/>
      <c r="AIM64" s="834"/>
      <c r="AIN64" s="834"/>
      <c r="AIO64" s="834"/>
      <c r="AIP64" s="834"/>
      <c r="AIQ64" s="834"/>
      <c r="AIR64" s="834"/>
      <c r="AIS64" s="834"/>
      <c r="AIT64" s="834"/>
      <c r="AIU64" s="834"/>
      <c r="AIV64" s="834"/>
      <c r="AIW64" s="834"/>
      <c r="AIX64" s="834"/>
      <c r="AIY64" s="834"/>
      <c r="AIZ64" s="834"/>
      <c r="AJA64" s="834"/>
      <c r="AJB64" s="834"/>
      <c r="AJC64" s="834"/>
      <c r="AJD64" s="834"/>
      <c r="AJE64" s="834"/>
      <c r="AJF64" s="834"/>
      <c r="AJG64" s="834"/>
      <c r="AJH64" s="834"/>
      <c r="AJI64" s="834"/>
      <c r="AJJ64" s="834"/>
      <c r="AJK64" s="834"/>
      <c r="AJL64" s="834"/>
      <c r="AJM64" s="834"/>
      <c r="AJN64" s="834"/>
      <c r="AJO64" s="834"/>
      <c r="AJP64" s="834"/>
      <c r="AJQ64" s="834"/>
      <c r="AJR64" s="834"/>
      <c r="AJS64" s="834"/>
      <c r="AJT64" s="834"/>
      <c r="AJU64" s="834"/>
      <c r="AJV64" s="834"/>
      <c r="AJW64" s="834"/>
      <c r="AJX64" s="834"/>
      <c r="AJY64" s="834"/>
      <c r="AJZ64" s="834"/>
      <c r="AKA64" s="834"/>
      <c r="AKB64" s="834"/>
      <c r="AKC64" s="834"/>
      <c r="AKD64" s="834"/>
      <c r="AKE64" s="834"/>
      <c r="AKF64" s="834"/>
      <c r="AKG64" s="834"/>
      <c r="AKH64" s="834"/>
      <c r="AKI64" s="834"/>
      <c r="AKJ64" s="834"/>
      <c r="AKK64" s="834"/>
      <c r="AKL64" s="834"/>
      <c r="AKM64" s="834"/>
      <c r="AKN64" s="834"/>
      <c r="AKO64" s="834"/>
      <c r="AKP64" s="834"/>
      <c r="AKQ64" s="834"/>
      <c r="AKR64" s="834"/>
      <c r="AKS64" s="834"/>
      <c r="AKT64" s="834"/>
      <c r="AKU64" s="834"/>
      <c r="AKV64" s="834"/>
      <c r="AKW64" s="834"/>
      <c r="AKX64" s="834"/>
      <c r="AKY64" s="834"/>
      <c r="AKZ64" s="834"/>
      <c r="ALA64" s="834"/>
      <c r="ALB64" s="834"/>
      <c r="ALC64" s="834"/>
      <c r="ALD64" s="834"/>
      <c r="ALE64" s="834"/>
      <c r="ALF64" s="834"/>
      <c r="ALG64" s="834"/>
      <c r="ALH64" s="834"/>
      <c r="ALI64" s="834"/>
      <c r="ALJ64" s="834"/>
      <c r="ALK64" s="834"/>
      <c r="ALL64" s="834"/>
      <c r="ALM64" s="834"/>
      <c r="ALN64" s="834"/>
      <c r="ALO64" s="834"/>
      <c r="ALP64" s="834"/>
      <c r="ALQ64" s="834"/>
      <c r="ALR64" s="834"/>
      <c r="ALS64" s="834"/>
      <c r="ALT64" s="834"/>
      <c r="ALU64" s="834"/>
      <c r="ALV64" s="834"/>
      <c r="ALW64" s="834"/>
      <c r="ALX64" s="834"/>
      <c r="ALY64" s="834"/>
      <c r="ALZ64" s="834"/>
      <c r="AMA64" s="834"/>
      <c r="AMB64" s="834"/>
      <c r="AMC64" s="834"/>
      <c r="AMD64" s="834"/>
      <c r="AME64" s="834"/>
      <c r="AMF64" s="834"/>
      <c r="AMG64" s="834"/>
      <c r="AMH64" s="834"/>
      <c r="AMI64" s="834"/>
      <c r="AMJ64" s="834"/>
      <c r="AMK64" s="834"/>
      <c r="AML64" s="834"/>
    </row>
    <row r="65" spans="1:1026" ht="36" customHeight="1">
      <c r="A65" s="844"/>
      <c r="B65" s="919" t="s">
        <v>143</v>
      </c>
      <c r="C65" s="891" t="s">
        <v>144</v>
      </c>
      <c r="D65" s="450" t="s">
        <v>145</v>
      </c>
      <c r="E65" s="444" t="s">
        <v>27</v>
      </c>
      <c r="F65" s="881">
        <f>Alvenaria!G58</f>
        <v>17.850000000000001</v>
      </c>
      <c r="G65" s="893">
        <f>K65</f>
        <v>142.68</v>
      </c>
      <c r="H65" s="883">
        <f>F65*G65</f>
        <v>2546.8380000000002</v>
      </c>
      <c r="I65" s="844"/>
      <c r="J65" s="841">
        <v>112.69</v>
      </c>
      <c r="K65" s="842">
        <f t="shared" si="2"/>
        <v>142.68</v>
      </c>
    </row>
    <row r="66" spans="1:1026" s="826" customFormat="1" ht="24.95" customHeight="1" outlineLevel="1">
      <c r="A66" s="920"/>
      <c r="B66" s="921" t="s">
        <v>146</v>
      </c>
      <c r="C66" s="921"/>
      <c r="D66" s="922" t="s">
        <v>147</v>
      </c>
      <c r="E66" s="418"/>
      <c r="F66" s="903"/>
      <c r="G66" s="904"/>
      <c r="H66" s="905"/>
      <c r="I66" s="920"/>
      <c r="J66" s="917"/>
      <c r="K66" s="918"/>
      <c r="L66" s="834"/>
      <c r="M66" s="834"/>
      <c r="N66" s="834"/>
      <c r="O66" s="834"/>
      <c r="P66" s="834"/>
      <c r="Q66" s="834"/>
      <c r="R66" s="834"/>
      <c r="S66" s="834"/>
      <c r="T66" s="834"/>
      <c r="U66" s="834"/>
      <c r="V66" s="834"/>
      <c r="W66" s="834"/>
      <c r="X66" s="834"/>
      <c r="Y66" s="834"/>
      <c r="Z66" s="834"/>
      <c r="AA66" s="834"/>
      <c r="AB66" s="834"/>
      <c r="AC66" s="834"/>
      <c r="AD66" s="834"/>
      <c r="AE66" s="834"/>
      <c r="AF66" s="834"/>
      <c r="AG66" s="834"/>
      <c r="AH66" s="834"/>
      <c r="AI66" s="834"/>
      <c r="AJ66" s="834"/>
      <c r="AK66" s="834"/>
      <c r="AL66" s="834"/>
      <c r="AM66" s="834"/>
      <c r="AN66" s="834"/>
      <c r="AO66" s="834"/>
      <c r="AP66" s="834"/>
      <c r="AQ66" s="834"/>
      <c r="AR66" s="834"/>
      <c r="AS66" s="834"/>
      <c r="AT66" s="834"/>
      <c r="AU66" s="834"/>
      <c r="AV66" s="834"/>
      <c r="AW66" s="834"/>
      <c r="AX66" s="834"/>
      <c r="AY66" s="834"/>
      <c r="AZ66" s="834"/>
      <c r="BA66" s="834"/>
      <c r="BB66" s="834"/>
      <c r="BC66" s="834"/>
      <c r="BD66" s="834"/>
      <c r="BE66" s="834"/>
      <c r="BF66" s="834"/>
      <c r="BG66" s="834"/>
      <c r="BH66" s="834"/>
      <c r="BI66" s="834"/>
      <c r="BJ66" s="834"/>
      <c r="BK66" s="834"/>
      <c r="BL66" s="834"/>
      <c r="BM66" s="834"/>
      <c r="BN66" s="834"/>
      <c r="BO66" s="834"/>
      <c r="BP66" s="834"/>
      <c r="BQ66" s="834"/>
      <c r="BR66" s="834"/>
      <c r="BS66" s="834"/>
      <c r="BT66" s="834"/>
      <c r="BU66" s="834"/>
      <c r="BV66" s="834"/>
      <c r="BW66" s="834"/>
      <c r="BX66" s="834"/>
      <c r="BY66" s="834"/>
      <c r="BZ66" s="834"/>
      <c r="CA66" s="834"/>
      <c r="CB66" s="834"/>
      <c r="CC66" s="834"/>
      <c r="CD66" s="834"/>
      <c r="CE66" s="834"/>
      <c r="CF66" s="834"/>
      <c r="CG66" s="834"/>
      <c r="CH66" s="834"/>
      <c r="CI66" s="834"/>
      <c r="CJ66" s="834"/>
      <c r="CK66" s="834"/>
      <c r="CL66" s="834"/>
      <c r="CM66" s="834"/>
      <c r="CN66" s="834"/>
      <c r="CO66" s="834"/>
      <c r="CP66" s="834"/>
      <c r="CQ66" s="834"/>
      <c r="CR66" s="834"/>
      <c r="CS66" s="834"/>
      <c r="CT66" s="834"/>
      <c r="CU66" s="834"/>
      <c r="CV66" s="834"/>
      <c r="CW66" s="834"/>
      <c r="CX66" s="834"/>
      <c r="CY66" s="834"/>
      <c r="CZ66" s="834"/>
      <c r="DA66" s="834"/>
      <c r="DB66" s="834"/>
      <c r="DC66" s="834"/>
      <c r="DD66" s="834"/>
      <c r="DE66" s="834"/>
      <c r="DF66" s="834"/>
      <c r="DG66" s="834"/>
      <c r="DH66" s="834"/>
      <c r="DI66" s="834"/>
      <c r="DJ66" s="834"/>
      <c r="DK66" s="834"/>
      <c r="DL66" s="834"/>
      <c r="DM66" s="834"/>
      <c r="DN66" s="834"/>
      <c r="DO66" s="834"/>
      <c r="DP66" s="834"/>
      <c r="DQ66" s="834"/>
      <c r="DR66" s="834"/>
      <c r="DS66" s="834"/>
      <c r="DT66" s="834"/>
      <c r="DU66" s="834"/>
      <c r="DV66" s="834"/>
      <c r="DW66" s="834"/>
      <c r="DX66" s="834"/>
      <c r="DY66" s="834"/>
      <c r="DZ66" s="834"/>
      <c r="EA66" s="834"/>
      <c r="EB66" s="834"/>
      <c r="EC66" s="834"/>
      <c r="ED66" s="834"/>
      <c r="EE66" s="834"/>
      <c r="EF66" s="834"/>
      <c r="EG66" s="834"/>
      <c r="EH66" s="834"/>
      <c r="EI66" s="834"/>
      <c r="EJ66" s="834"/>
      <c r="EK66" s="834"/>
      <c r="EL66" s="834"/>
      <c r="EM66" s="834"/>
      <c r="EN66" s="834"/>
      <c r="EO66" s="834"/>
      <c r="EP66" s="834"/>
      <c r="EQ66" s="834"/>
      <c r="ER66" s="834"/>
      <c r="ES66" s="834"/>
      <c r="ET66" s="834"/>
      <c r="EU66" s="834"/>
      <c r="EV66" s="834"/>
      <c r="EW66" s="834"/>
      <c r="EX66" s="834"/>
      <c r="EY66" s="834"/>
      <c r="EZ66" s="834"/>
      <c r="FA66" s="834"/>
      <c r="FB66" s="834"/>
      <c r="FC66" s="834"/>
      <c r="FD66" s="834"/>
      <c r="FE66" s="834"/>
      <c r="FF66" s="834"/>
      <c r="FG66" s="834"/>
      <c r="FH66" s="834"/>
      <c r="FI66" s="834"/>
      <c r="FJ66" s="834"/>
      <c r="FK66" s="834"/>
      <c r="FL66" s="834"/>
      <c r="FM66" s="834"/>
      <c r="FN66" s="834"/>
      <c r="FO66" s="834"/>
      <c r="FP66" s="834"/>
      <c r="FQ66" s="834"/>
      <c r="FR66" s="834"/>
      <c r="FS66" s="834"/>
      <c r="FT66" s="834"/>
      <c r="FU66" s="834"/>
      <c r="FV66" s="834"/>
      <c r="FW66" s="834"/>
      <c r="FX66" s="834"/>
      <c r="FY66" s="834"/>
      <c r="FZ66" s="834"/>
      <c r="GA66" s="834"/>
      <c r="GB66" s="834"/>
      <c r="GC66" s="834"/>
      <c r="GD66" s="834"/>
      <c r="GE66" s="834"/>
      <c r="GF66" s="834"/>
      <c r="GG66" s="834"/>
      <c r="GH66" s="834"/>
      <c r="GI66" s="834"/>
      <c r="GJ66" s="834"/>
      <c r="GK66" s="834"/>
      <c r="GL66" s="834"/>
      <c r="GM66" s="834"/>
      <c r="GN66" s="834"/>
      <c r="GO66" s="834"/>
      <c r="GP66" s="834"/>
      <c r="GQ66" s="834"/>
      <c r="GR66" s="834"/>
      <c r="GS66" s="834"/>
      <c r="GT66" s="834"/>
      <c r="GU66" s="834"/>
      <c r="GV66" s="834"/>
      <c r="GW66" s="834"/>
      <c r="GX66" s="834"/>
      <c r="GY66" s="834"/>
      <c r="GZ66" s="834"/>
      <c r="HA66" s="834"/>
      <c r="HB66" s="834"/>
      <c r="HC66" s="834"/>
      <c r="HD66" s="834"/>
      <c r="HE66" s="834"/>
      <c r="HF66" s="834"/>
      <c r="HG66" s="834"/>
      <c r="HH66" s="834"/>
      <c r="HI66" s="834"/>
      <c r="HJ66" s="834"/>
      <c r="HK66" s="834"/>
      <c r="HL66" s="834"/>
      <c r="HM66" s="834"/>
      <c r="HN66" s="834"/>
      <c r="HO66" s="834"/>
      <c r="HP66" s="834"/>
      <c r="HQ66" s="834"/>
      <c r="HR66" s="834"/>
      <c r="HS66" s="834"/>
      <c r="HT66" s="834"/>
      <c r="HU66" s="834"/>
      <c r="HV66" s="834"/>
      <c r="HW66" s="834"/>
      <c r="HX66" s="834"/>
      <c r="HY66" s="834"/>
      <c r="HZ66" s="834"/>
      <c r="IA66" s="834"/>
      <c r="IB66" s="834"/>
      <c r="IC66" s="834"/>
      <c r="ID66" s="834"/>
      <c r="IE66" s="834"/>
      <c r="IF66" s="834"/>
      <c r="IG66" s="834"/>
      <c r="IH66" s="834"/>
      <c r="II66" s="834"/>
      <c r="IJ66" s="834"/>
      <c r="IK66" s="834"/>
      <c r="IL66" s="834"/>
      <c r="IM66" s="834"/>
      <c r="IN66" s="834"/>
      <c r="IO66" s="834"/>
      <c r="IP66" s="834"/>
      <c r="IQ66" s="834"/>
      <c r="IR66" s="834"/>
      <c r="IS66" s="834"/>
      <c r="IT66" s="834"/>
      <c r="IU66" s="834"/>
      <c r="IV66" s="834"/>
      <c r="IW66" s="834"/>
      <c r="IX66" s="834"/>
      <c r="IY66" s="834"/>
      <c r="IZ66" s="834"/>
      <c r="JA66" s="834"/>
      <c r="JB66" s="834"/>
      <c r="JC66" s="834"/>
      <c r="JD66" s="834"/>
      <c r="JE66" s="834"/>
      <c r="JF66" s="834"/>
      <c r="JG66" s="834"/>
      <c r="JH66" s="834"/>
      <c r="JI66" s="834"/>
      <c r="JJ66" s="834"/>
      <c r="JK66" s="834"/>
      <c r="JL66" s="834"/>
      <c r="JM66" s="834"/>
      <c r="JN66" s="834"/>
      <c r="JO66" s="834"/>
      <c r="JP66" s="834"/>
      <c r="JQ66" s="834"/>
      <c r="JR66" s="834"/>
      <c r="JS66" s="834"/>
      <c r="JT66" s="834"/>
      <c r="JU66" s="834"/>
      <c r="JV66" s="834"/>
      <c r="JW66" s="834"/>
      <c r="JX66" s="834"/>
      <c r="JY66" s="834"/>
      <c r="JZ66" s="834"/>
      <c r="KA66" s="834"/>
      <c r="KB66" s="834"/>
      <c r="KC66" s="834"/>
      <c r="KD66" s="834"/>
      <c r="KE66" s="834"/>
      <c r="KF66" s="834"/>
      <c r="KG66" s="834"/>
      <c r="KH66" s="834"/>
      <c r="KI66" s="834"/>
      <c r="KJ66" s="834"/>
      <c r="KK66" s="834"/>
      <c r="KL66" s="834"/>
      <c r="KM66" s="834"/>
      <c r="KN66" s="834"/>
      <c r="KO66" s="834"/>
      <c r="KP66" s="834"/>
      <c r="KQ66" s="834"/>
      <c r="KR66" s="834"/>
      <c r="KS66" s="834"/>
      <c r="KT66" s="834"/>
      <c r="KU66" s="834"/>
      <c r="KV66" s="834"/>
      <c r="KW66" s="834"/>
      <c r="KX66" s="834"/>
      <c r="KY66" s="834"/>
      <c r="KZ66" s="834"/>
      <c r="LA66" s="834"/>
      <c r="LB66" s="834"/>
      <c r="LC66" s="834"/>
      <c r="LD66" s="834"/>
      <c r="LE66" s="834"/>
      <c r="LF66" s="834"/>
      <c r="LG66" s="834"/>
      <c r="LH66" s="834"/>
      <c r="LI66" s="834"/>
      <c r="LJ66" s="834"/>
      <c r="LK66" s="834"/>
      <c r="LL66" s="834"/>
      <c r="LM66" s="834"/>
      <c r="LN66" s="834"/>
      <c r="LO66" s="834"/>
      <c r="LP66" s="834"/>
      <c r="LQ66" s="834"/>
      <c r="LR66" s="834"/>
      <c r="LS66" s="834"/>
      <c r="LT66" s="834"/>
      <c r="LU66" s="834"/>
      <c r="LV66" s="834"/>
      <c r="LW66" s="834"/>
      <c r="LX66" s="834"/>
      <c r="LY66" s="834"/>
      <c r="LZ66" s="834"/>
      <c r="MA66" s="834"/>
      <c r="MB66" s="834"/>
      <c r="MC66" s="834"/>
      <c r="MD66" s="834"/>
      <c r="ME66" s="834"/>
      <c r="MF66" s="834"/>
      <c r="MG66" s="834"/>
      <c r="MH66" s="834"/>
      <c r="MI66" s="834"/>
      <c r="MJ66" s="834"/>
      <c r="MK66" s="834"/>
      <c r="ML66" s="834"/>
      <c r="MM66" s="834"/>
      <c r="MN66" s="834"/>
      <c r="MO66" s="834"/>
      <c r="MP66" s="834"/>
      <c r="MQ66" s="834"/>
      <c r="MR66" s="834"/>
      <c r="MS66" s="834"/>
      <c r="MT66" s="834"/>
      <c r="MU66" s="834"/>
      <c r="MV66" s="834"/>
      <c r="MW66" s="834"/>
      <c r="MX66" s="834"/>
      <c r="MY66" s="834"/>
      <c r="MZ66" s="834"/>
      <c r="NA66" s="834"/>
      <c r="NB66" s="834"/>
      <c r="NC66" s="834"/>
      <c r="ND66" s="834"/>
      <c r="NE66" s="834"/>
      <c r="NF66" s="834"/>
      <c r="NG66" s="834"/>
      <c r="NH66" s="834"/>
      <c r="NI66" s="834"/>
      <c r="NJ66" s="834"/>
      <c r="NK66" s="834"/>
      <c r="NL66" s="834"/>
      <c r="NM66" s="834"/>
      <c r="NN66" s="834"/>
      <c r="NO66" s="834"/>
      <c r="NP66" s="834"/>
      <c r="NQ66" s="834"/>
      <c r="NR66" s="834"/>
      <c r="NS66" s="834"/>
      <c r="NT66" s="834"/>
      <c r="NU66" s="834"/>
      <c r="NV66" s="834"/>
      <c r="NW66" s="834"/>
      <c r="NX66" s="834"/>
      <c r="NY66" s="834"/>
      <c r="NZ66" s="834"/>
      <c r="OA66" s="834"/>
      <c r="OB66" s="834"/>
      <c r="OC66" s="834"/>
      <c r="OD66" s="834"/>
      <c r="OE66" s="834"/>
      <c r="OF66" s="834"/>
      <c r="OG66" s="834"/>
      <c r="OH66" s="834"/>
      <c r="OI66" s="834"/>
      <c r="OJ66" s="834"/>
      <c r="OK66" s="834"/>
      <c r="OL66" s="834"/>
      <c r="OM66" s="834"/>
      <c r="ON66" s="834"/>
      <c r="OO66" s="834"/>
      <c r="OP66" s="834"/>
      <c r="OQ66" s="834"/>
      <c r="OR66" s="834"/>
      <c r="OS66" s="834"/>
      <c r="OT66" s="834"/>
      <c r="OU66" s="834"/>
      <c r="OV66" s="834"/>
      <c r="OW66" s="834"/>
      <c r="OX66" s="834"/>
      <c r="OY66" s="834"/>
      <c r="OZ66" s="834"/>
      <c r="PA66" s="834"/>
      <c r="PB66" s="834"/>
      <c r="PC66" s="834"/>
      <c r="PD66" s="834"/>
      <c r="PE66" s="834"/>
      <c r="PF66" s="834"/>
      <c r="PG66" s="834"/>
      <c r="PH66" s="834"/>
      <c r="PI66" s="834"/>
      <c r="PJ66" s="834"/>
      <c r="PK66" s="834"/>
      <c r="PL66" s="834"/>
      <c r="PM66" s="834"/>
      <c r="PN66" s="834"/>
      <c r="PO66" s="834"/>
      <c r="PP66" s="834"/>
      <c r="PQ66" s="834"/>
      <c r="PR66" s="834"/>
      <c r="PS66" s="834"/>
      <c r="PT66" s="834"/>
      <c r="PU66" s="834"/>
      <c r="PV66" s="834"/>
      <c r="PW66" s="834"/>
      <c r="PX66" s="834"/>
      <c r="PY66" s="834"/>
      <c r="PZ66" s="834"/>
      <c r="QA66" s="834"/>
      <c r="QB66" s="834"/>
      <c r="QC66" s="834"/>
      <c r="QD66" s="834"/>
      <c r="QE66" s="834"/>
      <c r="QF66" s="834"/>
      <c r="QG66" s="834"/>
      <c r="QH66" s="834"/>
      <c r="QI66" s="834"/>
      <c r="QJ66" s="834"/>
      <c r="QK66" s="834"/>
      <c r="QL66" s="834"/>
      <c r="QM66" s="834"/>
      <c r="QN66" s="834"/>
      <c r="QO66" s="834"/>
      <c r="QP66" s="834"/>
      <c r="QQ66" s="834"/>
      <c r="QR66" s="834"/>
      <c r="QS66" s="834"/>
      <c r="QT66" s="834"/>
      <c r="QU66" s="834"/>
      <c r="QV66" s="834"/>
      <c r="QW66" s="834"/>
      <c r="QX66" s="834"/>
      <c r="QY66" s="834"/>
      <c r="QZ66" s="834"/>
      <c r="RA66" s="834"/>
      <c r="RB66" s="834"/>
      <c r="RC66" s="834"/>
      <c r="RD66" s="834"/>
      <c r="RE66" s="834"/>
      <c r="RF66" s="834"/>
      <c r="RG66" s="834"/>
      <c r="RH66" s="834"/>
      <c r="RI66" s="834"/>
      <c r="RJ66" s="834"/>
      <c r="RK66" s="834"/>
      <c r="RL66" s="834"/>
      <c r="RM66" s="834"/>
      <c r="RN66" s="834"/>
      <c r="RO66" s="834"/>
      <c r="RP66" s="834"/>
      <c r="RQ66" s="834"/>
      <c r="RR66" s="834"/>
      <c r="RS66" s="834"/>
      <c r="RT66" s="834"/>
      <c r="RU66" s="834"/>
      <c r="RV66" s="834"/>
      <c r="RW66" s="834"/>
      <c r="RX66" s="834"/>
      <c r="RY66" s="834"/>
      <c r="RZ66" s="834"/>
      <c r="SA66" s="834"/>
      <c r="SB66" s="834"/>
      <c r="SC66" s="834"/>
      <c r="SD66" s="834"/>
      <c r="SE66" s="834"/>
      <c r="SF66" s="834"/>
      <c r="SG66" s="834"/>
      <c r="SH66" s="834"/>
      <c r="SI66" s="834"/>
      <c r="SJ66" s="834"/>
      <c r="SK66" s="834"/>
      <c r="SL66" s="834"/>
      <c r="SM66" s="834"/>
      <c r="SN66" s="834"/>
      <c r="SO66" s="834"/>
      <c r="SP66" s="834"/>
      <c r="SQ66" s="834"/>
      <c r="SR66" s="834"/>
      <c r="SS66" s="834"/>
      <c r="ST66" s="834"/>
      <c r="SU66" s="834"/>
      <c r="SV66" s="834"/>
      <c r="SW66" s="834"/>
      <c r="SX66" s="834"/>
      <c r="SY66" s="834"/>
      <c r="SZ66" s="834"/>
      <c r="TA66" s="834"/>
      <c r="TB66" s="834"/>
      <c r="TC66" s="834"/>
      <c r="TD66" s="834"/>
      <c r="TE66" s="834"/>
      <c r="TF66" s="834"/>
      <c r="TG66" s="834"/>
      <c r="TH66" s="834"/>
      <c r="TI66" s="834"/>
      <c r="TJ66" s="834"/>
      <c r="TK66" s="834"/>
      <c r="TL66" s="834"/>
      <c r="TM66" s="834"/>
      <c r="TN66" s="834"/>
      <c r="TO66" s="834"/>
      <c r="TP66" s="834"/>
      <c r="TQ66" s="834"/>
      <c r="TR66" s="834"/>
      <c r="TS66" s="834"/>
      <c r="TT66" s="834"/>
      <c r="TU66" s="834"/>
      <c r="TV66" s="834"/>
      <c r="TW66" s="834"/>
      <c r="TX66" s="834"/>
      <c r="TY66" s="834"/>
      <c r="TZ66" s="834"/>
      <c r="UA66" s="834"/>
      <c r="UB66" s="834"/>
      <c r="UC66" s="834"/>
      <c r="UD66" s="834"/>
      <c r="UE66" s="834"/>
      <c r="UF66" s="834"/>
      <c r="UG66" s="834"/>
      <c r="UH66" s="834"/>
      <c r="UI66" s="834"/>
      <c r="UJ66" s="834"/>
      <c r="UK66" s="834"/>
      <c r="UL66" s="834"/>
      <c r="UM66" s="834"/>
      <c r="UN66" s="834"/>
      <c r="UO66" s="834"/>
      <c r="UP66" s="834"/>
      <c r="UQ66" s="834"/>
      <c r="UR66" s="834"/>
      <c r="US66" s="834"/>
      <c r="UT66" s="834"/>
      <c r="UU66" s="834"/>
      <c r="UV66" s="834"/>
      <c r="UW66" s="834"/>
      <c r="UX66" s="834"/>
      <c r="UY66" s="834"/>
      <c r="UZ66" s="834"/>
      <c r="VA66" s="834"/>
      <c r="VB66" s="834"/>
      <c r="VC66" s="834"/>
      <c r="VD66" s="834"/>
      <c r="VE66" s="834"/>
      <c r="VF66" s="834"/>
      <c r="VG66" s="834"/>
      <c r="VH66" s="834"/>
      <c r="VI66" s="834"/>
      <c r="VJ66" s="834"/>
      <c r="VK66" s="834"/>
      <c r="VL66" s="834"/>
      <c r="VM66" s="834"/>
      <c r="VN66" s="834"/>
      <c r="VO66" s="834"/>
      <c r="VP66" s="834"/>
      <c r="VQ66" s="834"/>
      <c r="VR66" s="834"/>
      <c r="VS66" s="834"/>
      <c r="VT66" s="834"/>
      <c r="VU66" s="834"/>
      <c r="VV66" s="834"/>
      <c r="VW66" s="834"/>
      <c r="VX66" s="834"/>
      <c r="VY66" s="834"/>
      <c r="VZ66" s="834"/>
      <c r="WA66" s="834"/>
      <c r="WB66" s="834"/>
      <c r="WC66" s="834"/>
      <c r="WD66" s="834"/>
      <c r="WE66" s="834"/>
      <c r="WF66" s="834"/>
      <c r="WG66" s="834"/>
      <c r="WH66" s="834"/>
      <c r="WI66" s="834"/>
      <c r="WJ66" s="834"/>
      <c r="WK66" s="834"/>
      <c r="WL66" s="834"/>
      <c r="WM66" s="834"/>
      <c r="WN66" s="834"/>
      <c r="WO66" s="834"/>
      <c r="WP66" s="834"/>
      <c r="WQ66" s="834"/>
      <c r="WR66" s="834"/>
      <c r="WS66" s="834"/>
      <c r="WT66" s="834"/>
      <c r="WU66" s="834"/>
      <c r="WV66" s="834"/>
      <c r="WW66" s="834"/>
      <c r="WX66" s="834"/>
      <c r="WY66" s="834"/>
      <c r="WZ66" s="834"/>
      <c r="XA66" s="834"/>
      <c r="XB66" s="834"/>
      <c r="XC66" s="834"/>
      <c r="XD66" s="834"/>
      <c r="XE66" s="834"/>
      <c r="XF66" s="834"/>
      <c r="XG66" s="834"/>
      <c r="XH66" s="834"/>
      <c r="XI66" s="834"/>
      <c r="XJ66" s="834"/>
      <c r="XK66" s="834"/>
      <c r="XL66" s="834"/>
      <c r="XM66" s="834"/>
      <c r="XN66" s="834"/>
      <c r="XO66" s="834"/>
      <c r="XP66" s="834"/>
      <c r="XQ66" s="834"/>
      <c r="XR66" s="834"/>
      <c r="XS66" s="834"/>
      <c r="XT66" s="834"/>
      <c r="XU66" s="834"/>
      <c r="XV66" s="834"/>
      <c r="XW66" s="834"/>
      <c r="XX66" s="834"/>
      <c r="XY66" s="834"/>
      <c r="XZ66" s="834"/>
      <c r="YA66" s="834"/>
      <c r="YB66" s="834"/>
      <c r="YC66" s="834"/>
      <c r="YD66" s="834"/>
      <c r="YE66" s="834"/>
      <c r="YF66" s="834"/>
      <c r="YG66" s="834"/>
      <c r="YH66" s="834"/>
      <c r="YI66" s="834"/>
      <c r="YJ66" s="834"/>
      <c r="YK66" s="834"/>
      <c r="YL66" s="834"/>
      <c r="YM66" s="834"/>
      <c r="YN66" s="834"/>
      <c r="YO66" s="834"/>
      <c r="YP66" s="834"/>
      <c r="YQ66" s="834"/>
      <c r="YR66" s="834"/>
      <c r="YS66" s="834"/>
      <c r="YT66" s="834"/>
      <c r="YU66" s="834"/>
      <c r="YV66" s="834"/>
      <c r="YW66" s="834"/>
      <c r="YX66" s="834"/>
      <c r="YY66" s="834"/>
      <c r="YZ66" s="834"/>
      <c r="ZA66" s="834"/>
      <c r="ZB66" s="834"/>
      <c r="ZC66" s="834"/>
      <c r="ZD66" s="834"/>
      <c r="ZE66" s="834"/>
      <c r="ZF66" s="834"/>
      <c r="ZG66" s="834"/>
      <c r="ZH66" s="834"/>
      <c r="ZI66" s="834"/>
      <c r="ZJ66" s="834"/>
      <c r="ZK66" s="834"/>
      <c r="ZL66" s="834"/>
      <c r="ZM66" s="834"/>
      <c r="ZN66" s="834"/>
      <c r="ZO66" s="834"/>
      <c r="ZP66" s="834"/>
      <c r="ZQ66" s="834"/>
      <c r="ZR66" s="834"/>
      <c r="ZS66" s="834"/>
      <c r="ZT66" s="834"/>
      <c r="ZU66" s="834"/>
      <c r="ZV66" s="834"/>
      <c r="ZW66" s="834"/>
      <c r="ZX66" s="834"/>
      <c r="ZY66" s="834"/>
      <c r="ZZ66" s="834"/>
      <c r="AAA66" s="834"/>
      <c r="AAB66" s="834"/>
      <c r="AAC66" s="834"/>
      <c r="AAD66" s="834"/>
      <c r="AAE66" s="834"/>
      <c r="AAF66" s="834"/>
      <c r="AAG66" s="834"/>
      <c r="AAH66" s="834"/>
      <c r="AAI66" s="834"/>
      <c r="AAJ66" s="834"/>
      <c r="AAK66" s="834"/>
      <c r="AAL66" s="834"/>
      <c r="AAM66" s="834"/>
      <c r="AAN66" s="834"/>
      <c r="AAO66" s="834"/>
      <c r="AAP66" s="834"/>
      <c r="AAQ66" s="834"/>
      <c r="AAR66" s="834"/>
      <c r="AAS66" s="834"/>
      <c r="AAT66" s="834"/>
      <c r="AAU66" s="834"/>
      <c r="AAV66" s="834"/>
      <c r="AAW66" s="834"/>
      <c r="AAX66" s="834"/>
      <c r="AAY66" s="834"/>
      <c r="AAZ66" s="834"/>
      <c r="ABA66" s="834"/>
      <c r="ABB66" s="834"/>
      <c r="ABC66" s="834"/>
      <c r="ABD66" s="834"/>
      <c r="ABE66" s="834"/>
      <c r="ABF66" s="834"/>
      <c r="ABG66" s="834"/>
      <c r="ABH66" s="834"/>
      <c r="ABI66" s="834"/>
      <c r="ABJ66" s="834"/>
      <c r="ABK66" s="834"/>
      <c r="ABL66" s="834"/>
      <c r="ABM66" s="834"/>
      <c r="ABN66" s="834"/>
      <c r="ABO66" s="834"/>
      <c r="ABP66" s="834"/>
      <c r="ABQ66" s="834"/>
      <c r="ABR66" s="834"/>
      <c r="ABS66" s="834"/>
      <c r="ABT66" s="834"/>
      <c r="ABU66" s="834"/>
      <c r="ABV66" s="834"/>
      <c r="ABW66" s="834"/>
      <c r="ABX66" s="834"/>
      <c r="ABY66" s="834"/>
      <c r="ABZ66" s="834"/>
      <c r="ACA66" s="834"/>
      <c r="ACB66" s="834"/>
      <c r="ACC66" s="834"/>
      <c r="ACD66" s="834"/>
      <c r="ACE66" s="834"/>
      <c r="ACF66" s="834"/>
      <c r="ACG66" s="834"/>
      <c r="ACH66" s="834"/>
      <c r="ACI66" s="834"/>
      <c r="ACJ66" s="834"/>
      <c r="ACK66" s="834"/>
      <c r="ACL66" s="834"/>
      <c r="ACM66" s="834"/>
      <c r="ACN66" s="834"/>
      <c r="ACO66" s="834"/>
      <c r="ACP66" s="834"/>
      <c r="ACQ66" s="834"/>
      <c r="ACR66" s="834"/>
      <c r="ACS66" s="834"/>
      <c r="ACT66" s="834"/>
      <c r="ACU66" s="834"/>
      <c r="ACV66" s="834"/>
      <c r="ACW66" s="834"/>
      <c r="ACX66" s="834"/>
      <c r="ACY66" s="834"/>
      <c r="ACZ66" s="834"/>
      <c r="ADA66" s="834"/>
      <c r="ADB66" s="834"/>
      <c r="ADC66" s="834"/>
      <c r="ADD66" s="834"/>
      <c r="ADE66" s="834"/>
      <c r="ADF66" s="834"/>
      <c r="ADG66" s="834"/>
      <c r="ADH66" s="834"/>
      <c r="ADI66" s="834"/>
      <c r="ADJ66" s="834"/>
      <c r="ADK66" s="834"/>
      <c r="ADL66" s="834"/>
      <c r="ADM66" s="834"/>
      <c r="ADN66" s="834"/>
      <c r="ADO66" s="834"/>
      <c r="ADP66" s="834"/>
      <c r="ADQ66" s="834"/>
      <c r="ADR66" s="834"/>
      <c r="ADS66" s="834"/>
      <c r="ADT66" s="834"/>
      <c r="ADU66" s="834"/>
      <c r="ADV66" s="834"/>
      <c r="ADW66" s="834"/>
      <c r="ADX66" s="834"/>
      <c r="ADY66" s="834"/>
      <c r="ADZ66" s="834"/>
      <c r="AEA66" s="834"/>
      <c r="AEB66" s="834"/>
      <c r="AEC66" s="834"/>
      <c r="AED66" s="834"/>
      <c r="AEE66" s="834"/>
      <c r="AEF66" s="834"/>
      <c r="AEG66" s="834"/>
      <c r="AEH66" s="834"/>
      <c r="AEI66" s="834"/>
      <c r="AEJ66" s="834"/>
      <c r="AEK66" s="834"/>
      <c r="AEL66" s="834"/>
      <c r="AEM66" s="834"/>
      <c r="AEN66" s="834"/>
      <c r="AEO66" s="834"/>
      <c r="AEP66" s="834"/>
      <c r="AEQ66" s="834"/>
      <c r="AER66" s="834"/>
      <c r="AES66" s="834"/>
      <c r="AET66" s="834"/>
      <c r="AEU66" s="834"/>
      <c r="AEV66" s="834"/>
      <c r="AEW66" s="834"/>
      <c r="AEX66" s="834"/>
      <c r="AEY66" s="834"/>
      <c r="AEZ66" s="834"/>
      <c r="AFA66" s="834"/>
      <c r="AFB66" s="834"/>
      <c r="AFC66" s="834"/>
      <c r="AFD66" s="834"/>
      <c r="AFE66" s="834"/>
      <c r="AFF66" s="834"/>
      <c r="AFG66" s="834"/>
      <c r="AFH66" s="834"/>
      <c r="AFI66" s="834"/>
      <c r="AFJ66" s="834"/>
      <c r="AFK66" s="834"/>
      <c r="AFL66" s="834"/>
      <c r="AFM66" s="834"/>
      <c r="AFN66" s="834"/>
      <c r="AFO66" s="834"/>
      <c r="AFP66" s="834"/>
      <c r="AFQ66" s="834"/>
      <c r="AFR66" s="834"/>
      <c r="AFS66" s="834"/>
      <c r="AFT66" s="834"/>
      <c r="AFU66" s="834"/>
      <c r="AFV66" s="834"/>
      <c r="AFW66" s="834"/>
      <c r="AFX66" s="834"/>
      <c r="AFY66" s="834"/>
      <c r="AFZ66" s="834"/>
      <c r="AGA66" s="834"/>
      <c r="AGB66" s="834"/>
      <c r="AGC66" s="834"/>
      <c r="AGD66" s="834"/>
      <c r="AGE66" s="834"/>
      <c r="AGF66" s="834"/>
      <c r="AGG66" s="834"/>
      <c r="AGH66" s="834"/>
      <c r="AGI66" s="834"/>
      <c r="AGJ66" s="834"/>
      <c r="AGK66" s="834"/>
      <c r="AGL66" s="834"/>
      <c r="AGM66" s="834"/>
      <c r="AGN66" s="834"/>
      <c r="AGO66" s="834"/>
      <c r="AGP66" s="834"/>
      <c r="AGQ66" s="834"/>
      <c r="AGR66" s="834"/>
      <c r="AGS66" s="834"/>
      <c r="AGT66" s="834"/>
      <c r="AGU66" s="834"/>
      <c r="AGV66" s="834"/>
      <c r="AGW66" s="834"/>
      <c r="AGX66" s="834"/>
      <c r="AGY66" s="834"/>
      <c r="AGZ66" s="834"/>
      <c r="AHA66" s="834"/>
      <c r="AHB66" s="834"/>
      <c r="AHC66" s="834"/>
      <c r="AHD66" s="834"/>
      <c r="AHE66" s="834"/>
      <c r="AHF66" s="834"/>
      <c r="AHG66" s="834"/>
      <c r="AHH66" s="834"/>
      <c r="AHI66" s="834"/>
      <c r="AHJ66" s="834"/>
      <c r="AHK66" s="834"/>
      <c r="AHL66" s="834"/>
      <c r="AHM66" s="834"/>
      <c r="AHN66" s="834"/>
      <c r="AHO66" s="834"/>
      <c r="AHP66" s="834"/>
      <c r="AHQ66" s="834"/>
      <c r="AHR66" s="834"/>
      <c r="AHS66" s="834"/>
      <c r="AHT66" s="834"/>
      <c r="AHU66" s="834"/>
      <c r="AHV66" s="834"/>
      <c r="AHW66" s="834"/>
      <c r="AHX66" s="834"/>
      <c r="AHY66" s="834"/>
      <c r="AHZ66" s="834"/>
      <c r="AIA66" s="834"/>
      <c r="AIB66" s="834"/>
      <c r="AIC66" s="834"/>
      <c r="AID66" s="834"/>
      <c r="AIE66" s="834"/>
      <c r="AIF66" s="834"/>
      <c r="AIG66" s="834"/>
      <c r="AIH66" s="834"/>
      <c r="AII66" s="834"/>
      <c r="AIJ66" s="834"/>
      <c r="AIK66" s="834"/>
      <c r="AIL66" s="834"/>
      <c r="AIM66" s="834"/>
      <c r="AIN66" s="834"/>
      <c r="AIO66" s="834"/>
      <c r="AIP66" s="834"/>
      <c r="AIQ66" s="834"/>
      <c r="AIR66" s="834"/>
      <c r="AIS66" s="834"/>
      <c r="AIT66" s="834"/>
      <c r="AIU66" s="834"/>
      <c r="AIV66" s="834"/>
      <c r="AIW66" s="834"/>
      <c r="AIX66" s="834"/>
      <c r="AIY66" s="834"/>
      <c r="AIZ66" s="834"/>
      <c r="AJA66" s="834"/>
      <c r="AJB66" s="834"/>
      <c r="AJC66" s="834"/>
      <c r="AJD66" s="834"/>
      <c r="AJE66" s="834"/>
      <c r="AJF66" s="834"/>
      <c r="AJG66" s="834"/>
      <c r="AJH66" s="834"/>
      <c r="AJI66" s="834"/>
      <c r="AJJ66" s="834"/>
      <c r="AJK66" s="834"/>
      <c r="AJL66" s="834"/>
      <c r="AJM66" s="834"/>
      <c r="AJN66" s="834"/>
      <c r="AJO66" s="834"/>
      <c r="AJP66" s="834"/>
      <c r="AJQ66" s="834"/>
      <c r="AJR66" s="834"/>
      <c r="AJS66" s="834"/>
      <c r="AJT66" s="834"/>
      <c r="AJU66" s="834"/>
      <c r="AJV66" s="834"/>
      <c r="AJW66" s="834"/>
      <c r="AJX66" s="834"/>
      <c r="AJY66" s="834"/>
      <c r="AJZ66" s="834"/>
      <c r="AKA66" s="834"/>
      <c r="AKB66" s="834"/>
      <c r="AKC66" s="834"/>
      <c r="AKD66" s="834"/>
      <c r="AKE66" s="834"/>
      <c r="AKF66" s="834"/>
      <c r="AKG66" s="834"/>
      <c r="AKH66" s="834"/>
      <c r="AKI66" s="834"/>
      <c r="AKJ66" s="834"/>
      <c r="AKK66" s="834"/>
      <c r="AKL66" s="834"/>
      <c r="AKM66" s="834"/>
      <c r="AKN66" s="834"/>
      <c r="AKO66" s="834"/>
      <c r="AKP66" s="834"/>
      <c r="AKQ66" s="834"/>
      <c r="AKR66" s="834"/>
      <c r="AKS66" s="834"/>
      <c r="AKT66" s="834"/>
      <c r="AKU66" s="834"/>
      <c r="AKV66" s="834"/>
      <c r="AKW66" s="834"/>
      <c r="AKX66" s="834"/>
      <c r="AKY66" s="834"/>
      <c r="AKZ66" s="834"/>
      <c r="ALA66" s="834"/>
      <c r="ALB66" s="834"/>
      <c r="ALC66" s="834"/>
      <c r="ALD66" s="834"/>
      <c r="ALE66" s="834"/>
      <c r="ALF66" s="834"/>
      <c r="ALG66" s="834"/>
      <c r="ALH66" s="834"/>
      <c r="ALI66" s="834"/>
      <c r="ALJ66" s="834"/>
      <c r="ALK66" s="834"/>
      <c r="ALL66" s="834"/>
      <c r="ALM66" s="834"/>
      <c r="ALN66" s="834"/>
      <c r="ALO66" s="834"/>
      <c r="ALP66" s="834"/>
      <c r="ALQ66" s="834"/>
      <c r="ALR66" s="834"/>
      <c r="ALS66" s="834"/>
      <c r="ALT66" s="834"/>
      <c r="ALU66" s="834"/>
      <c r="ALV66" s="834"/>
      <c r="ALW66" s="834"/>
      <c r="ALX66" s="834"/>
      <c r="ALY66" s="834"/>
      <c r="ALZ66" s="834"/>
      <c r="AMA66" s="834"/>
      <c r="AMB66" s="834"/>
      <c r="AMC66" s="834"/>
      <c r="AMD66" s="834"/>
      <c r="AME66" s="834"/>
      <c r="AMF66" s="834"/>
      <c r="AMG66" s="834"/>
      <c r="AMH66" s="834"/>
      <c r="AMI66" s="834"/>
      <c r="AMJ66" s="834"/>
      <c r="AMK66" s="834"/>
      <c r="AML66" s="834"/>
    </row>
    <row r="67" spans="1:1026" ht="45" customHeight="1" outlineLevel="1">
      <c r="A67" s="845"/>
      <c r="B67" s="891" t="s">
        <v>148</v>
      </c>
      <c r="C67" s="923" t="s">
        <v>149</v>
      </c>
      <c r="D67" s="450" t="s">
        <v>150</v>
      </c>
      <c r="E67" s="444" t="s">
        <v>27</v>
      </c>
      <c r="F67" s="881">
        <f>'BANCADAS E SOLEIRAS'!F74</f>
        <v>21.52</v>
      </c>
      <c r="G67" s="893">
        <f>K67</f>
        <v>679.95</v>
      </c>
      <c r="H67" s="883">
        <f>F67*G67</f>
        <v>14632.524000000001</v>
      </c>
      <c r="I67" s="845"/>
      <c r="J67" s="841">
        <v>537.04</v>
      </c>
      <c r="K67" s="842">
        <f t="shared" si="2"/>
        <v>679.95</v>
      </c>
    </row>
    <row r="68" spans="1:1026" s="826" customFormat="1" ht="24.95" customHeight="1" outlineLevel="1">
      <c r="A68" s="920"/>
      <c r="B68" s="921" t="s">
        <v>151</v>
      </c>
      <c r="C68" s="921"/>
      <c r="D68" s="922" t="s">
        <v>152</v>
      </c>
      <c r="E68" s="418"/>
      <c r="F68" s="903"/>
      <c r="G68" s="904"/>
      <c r="H68" s="905"/>
      <c r="I68" s="920"/>
      <c r="J68" s="917"/>
      <c r="K68" s="918"/>
      <c r="L68" s="834"/>
      <c r="M68" s="834"/>
      <c r="N68" s="834"/>
      <c r="O68" s="834"/>
      <c r="P68" s="834"/>
      <c r="Q68" s="834"/>
      <c r="R68" s="834"/>
      <c r="S68" s="834"/>
      <c r="T68" s="834"/>
      <c r="U68" s="834"/>
      <c r="V68" s="834"/>
      <c r="W68" s="834"/>
      <c r="X68" s="834"/>
      <c r="Y68" s="834"/>
      <c r="Z68" s="834"/>
      <c r="AA68" s="834"/>
      <c r="AB68" s="834"/>
      <c r="AC68" s="834"/>
      <c r="AD68" s="834"/>
      <c r="AE68" s="834"/>
      <c r="AF68" s="834"/>
      <c r="AG68" s="834"/>
      <c r="AH68" s="834"/>
      <c r="AI68" s="834"/>
      <c r="AJ68" s="834"/>
      <c r="AK68" s="834"/>
      <c r="AL68" s="834"/>
      <c r="AM68" s="834"/>
      <c r="AN68" s="834"/>
      <c r="AO68" s="834"/>
      <c r="AP68" s="834"/>
      <c r="AQ68" s="834"/>
      <c r="AR68" s="834"/>
      <c r="AS68" s="834"/>
      <c r="AT68" s="834"/>
      <c r="AU68" s="834"/>
      <c r="AV68" s="834"/>
      <c r="AW68" s="834"/>
      <c r="AX68" s="834"/>
      <c r="AY68" s="834"/>
      <c r="AZ68" s="834"/>
      <c r="BA68" s="834"/>
      <c r="BB68" s="834"/>
      <c r="BC68" s="834"/>
      <c r="BD68" s="834"/>
      <c r="BE68" s="834"/>
      <c r="BF68" s="834"/>
      <c r="BG68" s="834"/>
      <c r="BH68" s="834"/>
      <c r="BI68" s="834"/>
      <c r="BJ68" s="834"/>
      <c r="BK68" s="834"/>
      <c r="BL68" s="834"/>
      <c r="BM68" s="834"/>
      <c r="BN68" s="834"/>
      <c r="BO68" s="834"/>
      <c r="BP68" s="834"/>
      <c r="BQ68" s="834"/>
      <c r="BR68" s="834"/>
      <c r="BS68" s="834"/>
      <c r="BT68" s="834"/>
      <c r="BU68" s="834"/>
      <c r="BV68" s="834"/>
      <c r="BW68" s="834"/>
      <c r="BX68" s="834"/>
      <c r="BY68" s="834"/>
      <c r="BZ68" s="834"/>
      <c r="CA68" s="834"/>
      <c r="CB68" s="834"/>
      <c r="CC68" s="834"/>
      <c r="CD68" s="834"/>
      <c r="CE68" s="834"/>
      <c r="CF68" s="834"/>
      <c r="CG68" s="834"/>
      <c r="CH68" s="834"/>
      <c r="CI68" s="834"/>
      <c r="CJ68" s="834"/>
      <c r="CK68" s="834"/>
      <c r="CL68" s="834"/>
      <c r="CM68" s="834"/>
      <c r="CN68" s="834"/>
      <c r="CO68" s="834"/>
      <c r="CP68" s="834"/>
      <c r="CQ68" s="834"/>
      <c r="CR68" s="834"/>
      <c r="CS68" s="834"/>
      <c r="CT68" s="834"/>
      <c r="CU68" s="834"/>
      <c r="CV68" s="834"/>
      <c r="CW68" s="834"/>
      <c r="CX68" s="834"/>
      <c r="CY68" s="834"/>
      <c r="CZ68" s="834"/>
      <c r="DA68" s="834"/>
      <c r="DB68" s="834"/>
      <c r="DC68" s="834"/>
      <c r="DD68" s="834"/>
      <c r="DE68" s="834"/>
      <c r="DF68" s="834"/>
      <c r="DG68" s="834"/>
      <c r="DH68" s="834"/>
      <c r="DI68" s="834"/>
      <c r="DJ68" s="834"/>
      <c r="DK68" s="834"/>
      <c r="DL68" s="834"/>
      <c r="DM68" s="834"/>
      <c r="DN68" s="834"/>
      <c r="DO68" s="834"/>
      <c r="DP68" s="834"/>
      <c r="DQ68" s="834"/>
      <c r="DR68" s="834"/>
      <c r="DS68" s="834"/>
      <c r="DT68" s="834"/>
      <c r="DU68" s="834"/>
      <c r="DV68" s="834"/>
      <c r="DW68" s="834"/>
      <c r="DX68" s="834"/>
      <c r="DY68" s="834"/>
      <c r="DZ68" s="834"/>
      <c r="EA68" s="834"/>
      <c r="EB68" s="834"/>
      <c r="EC68" s="834"/>
      <c r="ED68" s="834"/>
      <c r="EE68" s="834"/>
      <c r="EF68" s="834"/>
      <c r="EG68" s="834"/>
      <c r="EH68" s="834"/>
      <c r="EI68" s="834"/>
      <c r="EJ68" s="834"/>
      <c r="EK68" s="834"/>
      <c r="EL68" s="834"/>
      <c r="EM68" s="834"/>
      <c r="EN68" s="834"/>
      <c r="EO68" s="834"/>
      <c r="EP68" s="834"/>
      <c r="EQ68" s="834"/>
      <c r="ER68" s="834"/>
      <c r="ES68" s="834"/>
      <c r="ET68" s="834"/>
      <c r="EU68" s="834"/>
      <c r="EV68" s="834"/>
      <c r="EW68" s="834"/>
      <c r="EX68" s="834"/>
      <c r="EY68" s="834"/>
      <c r="EZ68" s="834"/>
      <c r="FA68" s="834"/>
      <c r="FB68" s="834"/>
      <c r="FC68" s="834"/>
      <c r="FD68" s="834"/>
      <c r="FE68" s="834"/>
      <c r="FF68" s="834"/>
      <c r="FG68" s="834"/>
      <c r="FH68" s="834"/>
      <c r="FI68" s="834"/>
      <c r="FJ68" s="834"/>
      <c r="FK68" s="834"/>
      <c r="FL68" s="834"/>
      <c r="FM68" s="834"/>
      <c r="FN68" s="834"/>
      <c r="FO68" s="834"/>
      <c r="FP68" s="834"/>
      <c r="FQ68" s="834"/>
      <c r="FR68" s="834"/>
      <c r="FS68" s="834"/>
      <c r="FT68" s="834"/>
      <c r="FU68" s="834"/>
      <c r="FV68" s="834"/>
      <c r="FW68" s="834"/>
      <c r="FX68" s="834"/>
      <c r="FY68" s="834"/>
      <c r="FZ68" s="834"/>
      <c r="GA68" s="834"/>
      <c r="GB68" s="834"/>
      <c r="GC68" s="834"/>
      <c r="GD68" s="834"/>
      <c r="GE68" s="834"/>
      <c r="GF68" s="834"/>
      <c r="GG68" s="834"/>
      <c r="GH68" s="834"/>
      <c r="GI68" s="834"/>
      <c r="GJ68" s="834"/>
      <c r="GK68" s="834"/>
      <c r="GL68" s="834"/>
      <c r="GM68" s="834"/>
      <c r="GN68" s="834"/>
      <c r="GO68" s="834"/>
      <c r="GP68" s="834"/>
      <c r="GQ68" s="834"/>
      <c r="GR68" s="834"/>
      <c r="GS68" s="834"/>
      <c r="GT68" s="834"/>
      <c r="GU68" s="834"/>
      <c r="GV68" s="834"/>
      <c r="GW68" s="834"/>
      <c r="GX68" s="834"/>
      <c r="GY68" s="834"/>
      <c r="GZ68" s="834"/>
      <c r="HA68" s="834"/>
      <c r="HB68" s="834"/>
      <c r="HC68" s="834"/>
      <c r="HD68" s="834"/>
      <c r="HE68" s="834"/>
      <c r="HF68" s="834"/>
      <c r="HG68" s="834"/>
      <c r="HH68" s="834"/>
      <c r="HI68" s="834"/>
      <c r="HJ68" s="834"/>
      <c r="HK68" s="834"/>
      <c r="HL68" s="834"/>
      <c r="HM68" s="834"/>
      <c r="HN68" s="834"/>
      <c r="HO68" s="834"/>
      <c r="HP68" s="834"/>
      <c r="HQ68" s="834"/>
      <c r="HR68" s="834"/>
      <c r="HS68" s="834"/>
      <c r="HT68" s="834"/>
      <c r="HU68" s="834"/>
      <c r="HV68" s="834"/>
      <c r="HW68" s="834"/>
      <c r="HX68" s="834"/>
      <c r="HY68" s="834"/>
      <c r="HZ68" s="834"/>
      <c r="IA68" s="834"/>
      <c r="IB68" s="834"/>
      <c r="IC68" s="834"/>
      <c r="ID68" s="834"/>
      <c r="IE68" s="834"/>
      <c r="IF68" s="834"/>
      <c r="IG68" s="834"/>
      <c r="IH68" s="834"/>
      <c r="II68" s="834"/>
      <c r="IJ68" s="834"/>
      <c r="IK68" s="834"/>
      <c r="IL68" s="834"/>
      <c r="IM68" s="834"/>
      <c r="IN68" s="834"/>
      <c r="IO68" s="834"/>
      <c r="IP68" s="834"/>
      <c r="IQ68" s="834"/>
      <c r="IR68" s="834"/>
      <c r="IS68" s="834"/>
      <c r="IT68" s="834"/>
      <c r="IU68" s="834"/>
      <c r="IV68" s="834"/>
      <c r="IW68" s="834"/>
      <c r="IX68" s="834"/>
      <c r="IY68" s="834"/>
      <c r="IZ68" s="834"/>
      <c r="JA68" s="834"/>
      <c r="JB68" s="834"/>
      <c r="JC68" s="834"/>
      <c r="JD68" s="834"/>
      <c r="JE68" s="834"/>
      <c r="JF68" s="834"/>
      <c r="JG68" s="834"/>
      <c r="JH68" s="834"/>
      <c r="JI68" s="834"/>
      <c r="JJ68" s="834"/>
      <c r="JK68" s="834"/>
      <c r="JL68" s="834"/>
      <c r="JM68" s="834"/>
      <c r="JN68" s="834"/>
      <c r="JO68" s="834"/>
      <c r="JP68" s="834"/>
      <c r="JQ68" s="834"/>
      <c r="JR68" s="834"/>
      <c r="JS68" s="834"/>
      <c r="JT68" s="834"/>
      <c r="JU68" s="834"/>
      <c r="JV68" s="834"/>
      <c r="JW68" s="834"/>
      <c r="JX68" s="834"/>
      <c r="JY68" s="834"/>
      <c r="JZ68" s="834"/>
      <c r="KA68" s="834"/>
      <c r="KB68" s="834"/>
      <c r="KC68" s="834"/>
      <c r="KD68" s="834"/>
      <c r="KE68" s="834"/>
      <c r="KF68" s="834"/>
      <c r="KG68" s="834"/>
      <c r="KH68" s="834"/>
      <c r="KI68" s="834"/>
      <c r="KJ68" s="834"/>
      <c r="KK68" s="834"/>
      <c r="KL68" s="834"/>
      <c r="KM68" s="834"/>
      <c r="KN68" s="834"/>
      <c r="KO68" s="834"/>
      <c r="KP68" s="834"/>
      <c r="KQ68" s="834"/>
      <c r="KR68" s="834"/>
      <c r="KS68" s="834"/>
      <c r="KT68" s="834"/>
      <c r="KU68" s="834"/>
      <c r="KV68" s="834"/>
      <c r="KW68" s="834"/>
      <c r="KX68" s="834"/>
      <c r="KY68" s="834"/>
      <c r="KZ68" s="834"/>
      <c r="LA68" s="834"/>
      <c r="LB68" s="834"/>
      <c r="LC68" s="834"/>
      <c r="LD68" s="834"/>
      <c r="LE68" s="834"/>
      <c r="LF68" s="834"/>
      <c r="LG68" s="834"/>
      <c r="LH68" s="834"/>
      <c r="LI68" s="834"/>
      <c r="LJ68" s="834"/>
      <c r="LK68" s="834"/>
      <c r="LL68" s="834"/>
      <c r="LM68" s="834"/>
      <c r="LN68" s="834"/>
      <c r="LO68" s="834"/>
      <c r="LP68" s="834"/>
      <c r="LQ68" s="834"/>
      <c r="LR68" s="834"/>
      <c r="LS68" s="834"/>
      <c r="LT68" s="834"/>
      <c r="LU68" s="834"/>
      <c r="LV68" s="834"/>
      <c r="LW68" s="834"/>
      <c r="LX68" s="834"/>
      <c r="LY68" s="834"/>
      <c r="LZ68" s="834"/>
      <c r="MA68" s="834"/>
      <c r="MB68" s="834"/>
      <c r="MC68" s="834"/>
      <c r="MD68" s="834"/>
      <c r="ME68" s="834"/>
      <c r="MF68" s="834"/>
      <c r="MG68" s="834"/>
      <c r="MH68" s="834"/>
      <c r="MI68" s="834"/>
      <c r="MJ68" s="834"/>
      <c r="MK68" s="834"/>
      <c r="ML68" s="834"/>
      <c r="MM68" s="834"/>
      <c r="MN68" s="834"/>
      <c r="MO68" s="834"/>
      <c r="MP68" s="834"/>
      <c r="MQ68" s="834"/>
      <c r="MR68" s="834"/>
      <c r="MS68" s="834"/>
      <c r="MT68" s="834"/>
      <c r="MU68" s="834"/>
      <c r="MV68" s="834"/>
      <c r="MW68" s="834"/>
      <c r="MX68" s="834"/>
      <c r="MY68" s="834"/>
      <c r="MZ68" s="834"/>
      <c r="NA68" s="834"/>
      <c r="NB68" s="834"/>
      <c r="NC68" s="834"/>
      <c r="ND68" s="834"/>
      <c r="NE68" s="834"/>
      <c r="NF68" s="834"/>
      <c r="NG68" s="834"/>
      <c r="NH68" s="834"/>
      <c r="NI68" s="834"/>
      <c r="NJ68" s="834"/>
      <c r="NK68" s="834"/>
      <c r="NL68" s="834"/>
      <c r="NM68" s="834"/>
      <c r="NN68" s="834"/>
      <c r="NO68" s="834"/>
      <c r="NP68" s="834"/>
      <c r="NQ68" s="834"/>
      <c r="NR68" s="834"/>
      <c r="NS68" s="834"/>
      <c r="NT68" s="834"/>
      <c r="NU68" s="834"/>
      <c r="NV68" s="834"/>
      <c r="NW68" s="834"/>
      <c r="NX68" s="834"/>
      <c r="NY68" s="834"/>
      <c r="NZ68" s="834"/>
      <c r="OA68" s="834"/>
      <c r="OB68" s="834"/>
      <c r="OC68" s="834"/>
      <c r="OD68" s="834"/>
      <c r="OE68" s="834"/>
      <c r="OF68" s="834"/>
      <c r="OG68" s="834"/>
      <c r="OH68" s="834"/>
      <c r="OI68" s="834"/>
      <c r="OJ68" s="834"/>
      <c r="OK68" s="834"/>
      <c r="OL68" s="834"/>
      <c r="OM68" s="834"/>
      <c r="ON68" s="834"/>
      <c r="OO68" s="834"/>
      <c r="OP68" s="834"/>
      <c r="OQ68" s="834"/>
      <c r="OR68" s="834"/>
      <c r="OS68" s="834"/>
      <c r="OT68" s="834"/>
      <c r="OU68" s="834"/>
      <c r="OV68" s="834"/>
      <c r="OW68" s="834"/>
      <c r="OX68" s="834"/>
      <c r="OY68" s="834"/>
      <c r="OZ68" s="834"/>
      <c r="PA68" s="834"/>
      <c r="PB68" s="834"/>
      <c r="PC68" s="834"/>
      <c r="PD68" s="834"/>
      <c r="PE68" s="834"/>
      <c r="PF68" s="834"/>
      <c r="PG68" s="834"/>
      <c r="PH68" s="834"/>
      <c r="PI68" s="834"/>
      <c r="PJ68" s="834"/>
      <c r="PK68" s="834"/>
      <c r="PL68" s="834"/>
      <c r="PM68" s="834"/>
      <c r="PN68" s="834"/>
      <c r="PO68" s="834"/>
      <c r="PP68" s="834"/>
      <c r="PQ68" s="834"/>
      <c r="PR68" s="834"/>
      <c r="PS68" s="834"/>
      <c r="PT68" s="834"/>
      <c r="PU68" s="834"/>
      <c r="PV68" s="834"/>
      <c r="PW68" s="834"/>
      <c r="PX68" s="834"/>
      <c r="PY68" s="834"/>
      <c r="PZ68" s="834"/>
      <c r="QA68" s="834"/>
      <c r="QB68" s="834"/>
      <c r="QC68" s="834"/>
      <c r="QD68" s="834"/>
      <c r="QE68" s="834"/>
      <c r="QF68" s="834"/>
      <c r="QG68" s="834"/>
      <c r="QH68" s="834"/>
      <c r="QI68" s="834"/>
      <c r="QJ68" s="834"/>
      <c r="QK68" s="834"/>
      <c r="QL68" s="834"/>
      <c r="QM68" s="834"/>
      <c r="QN68" s="834"/>
      <c r="QO68" s="834"/>
      <c r="QP68" s="834"/>
      <c r="QQ68" s="834"/>
      <c r="QR68" s="834"/>
      <c r="QS68" s="834"/>
      <c r="QT68" s="834"/>
      <c r="QU68" s="834"/>
      <c r="QV68" s="834"/>
      <c r="QW68" s="834"/>
      <c r="QX68" s="834"/>
      <c r="QY68" s="834"/>
      <c r="QZ68" s="834"/>
      <c r="RA68" s="834"/>
      <c r="RB68" s="834"/>
      <c r="RC68" s="834"/>
      <c r="RD68" s="834"/>
      <c r="RE68" s="834"/>
      <c r="RF68" s="834"/>
      <c r="RG68" s="834"/>
      <c r="RH68" s="834"/>
      <c r="RI68" s="834"/>
      <c r="RJ68" s="834"/>
      <c r="RK68" s="834"/>
      <c r="RL68" s="834"/>
      <c r="RM68" s="834"/>
      <c r="RN68" s="834"/>
      <c r="RO68" s="834"/>
      <c r="RP68" s="834"/>
      <c r="RQ68" s="834"/>
      <c r="RR68" s="834"/>
      <c r="RS68" s="834"/>
      <c r="RT68" s="834"/>
      <c r="RU68" s="834"/>
      <c r="RV68" s="834"/>
      <c r="RW68" s="834"/>
      <c r="RX68" s="834"/>
      <c r="RY68" s="834"/>
      <c r="RZ68" s="834"/>
      <c r="SA68" s="834"/>
      <c r="SB68" s="834"/>
      <c r="SC68" s="834"/>
      <c r="SD68" s="834"/>
      <c r="SE68" s="834"/>
      <c r="SF68" s="834"/>
      <c r="SG68" s="834"/>
      <c r="SH68" s="834"/>
      <c r="SI68" s="834"/>
      <c r="SJ68" s="834"/>
      <c r="SK68" s="834"/>
      <c r="SL68" s="834"/>
      <c r="SM68" s="834"/>
      <c r="SN68" s="834"/>
      <c r="SO68" s="834"/>
      <c r="SP68" s="834"/>
      <c r="SQ68" s="834"/>
      <c r="SR68" s="834"/>
      <c r="SS68" s="834"/>
      <c r="ST68" s="834"/>
      <c r="SU68" s="834"/>
      <c r="SV68" s="834"/>
      <c r="SW68" s="834"/>
      <c r="SX68" s="834"/>
      <c r="SY68" s="834"/>
      <c r="SZ68" s="834"/>
      <c r="TA68" s="834"/>
      <c r="TB68" s="834"/>
      <c r="TC68" s="834"/>
      <c r="TD68" s="834"/>
      <c r="TE68" s="834"/>
      <c r="TF68" s="834"/>
      <c r="TG68" s="834"/>
      <c r="TH68" s="834"/>
      <c r="TI68" s="834"/>
      <c r="TJ68" s="834"/>
      <c r="TK68" s="834"/>
      <c r="TL68" s="834"/>
      <c r="TM68" s="834"/>
      <c r="TN68" s="834"/>
      <c r="TO68" s="834"/>
      <c r="TP68" s="834"/>
      <c r="TQ68" s="834"/>
      <c r="TR68" s="834"/>
      <c r="TS68" s="834"/>
      <c r="TT68" s="834"/>
      <c r="TU68" s="834"/>
      <c r="TV68" s="834"/>
      <c r="TW68" s="834"/>
      <c r="TX68" s="834"/>
      <c r="TY68" s="834"/>
      <c r="TZ68" s="834"/>
      <c r="UA68" s="834"/>
      <c r="UB68" s="834"/>
      <c r="UC68" s="834"/>
      <c r="UD68" s="834"/>
      <c r="UE68" s="834"/>
      <c r="UF68" s="834"/>
      <c r="UG68" s="834"/>
      <c r="UH68" s="834"/>
      <c r="UI68" s="834"/>
      <c r="UJ68" s="834"/>
      <c r="UK68" s="834"/>
      <c r="UL68" s="834"/>
      <c r="UM68" s="834"/>
      <c r="UN68" s="834"/>
      <c r="UO68" s="834"/>
      <c r="UP68" s="834"/>
      <c r="UQ68" s="834"/>
      <c r="UR68" s="834"/>
      <c r="US68" s="834"/>
      <c r="UT68" s="834"/>
      <c r="UU68" s="834"/>
      <c r="UV68" s="834"/>
      <c r="UW68" s="834"/>
      <c r="UX68" s="834"/>
      <c r="UY68" s="834"/>
      <c r="UZ68" s="834"/>
      <c r="VA68" s="834"/>
      <c r="VB68" s="834"/>
      <c r="VC68" s="834"/>
      <c r="VD68" s="834"/>
      <c r="VE68" s="834"/>
      <c r="VF68" s="834"/>
      <c r="VG68" s="834"/>
      <c r="VH68" s="834"/>
      <c r="VI68" s="834"/>
      <c r="VJ68" s="834"/>
      <c r="VK68" s="834"/>
      <c r="VL68" s="834"/>
      <c r="VM68" s="834"/>
      <c r="VN68" s="834"/>
      <c r="VO68" s="834"/>
      <c r="VP68" s="834"/>
      <c r="VQ68" s="834"/>
      <c r="VR68" s="834"/>
      <c r="VS68" s="834"/>
      <c r="VT68" s="834"/>
      <c r="VU68" s="834"/>
      <c r="VV68" s="834"/>
      <c r="VW68" s="834"/>
      <c r="VX68" s="834"/>
      <c r="VY68" s="834"/>
      <c r="VZ68" s="834"/>
      <c r="WA68" s="834"/>
      <c r="WB68" s="834"/>
      <c r="WC68" s="834"/>
      <c r="WD68" s="834"/>
      <c r="WE68" s="834"/>
      <c r="WF68" s="834"/>
      <c r="WG68" s="834"/>
      <c r="WH68" s="834"/>
      <c r="WI68" s="834"/>
      <c r="WJ68" s="834"/>
      <c r="WK68" s="834"/>
      <c r="WL68" s="834"/>
      <c r="WM68" s="834"/>
      <c r="WN68" s="834"/>
      <c r="WO68" s="834"/>
      <c r="WP68" s="834"/>
      <c r="WQ68" s="834"/>
      <c r="WR68" s="834"/>
      <c r="WS68" s="834"/>
      <c r="WT68" s="834"/>
      <c r="WU68" s="834"/>
      <c r="WV68" s="834"/>
      <c r="WW68" s="834"/>
      <c r="WX68" s="834"/>
      <c r="WY68" s="834"/>
      <c r="WZ68" s="834"/>
      <c r="XA68" s="834"/>
      <c r="XB68" s="834"/>
      <c r="XC68" s="834"/>
      <c r="XD68" s="834"/>
      <c r="XE68" s="834"/>
      <c r="XF68" s="834"/>
      <c r="XG68" s="834"/>
      <c r="XH68" s="834"/>
      <c r="XI68" s="834"/>
      <c r="XJ68" s="834"/>
      <c r="XK68" s="834"/>
      <c r="XL68" s="834"/>
      <c r="XM68" s="834"/>
      <c r="XN68" s="834"/>
      <c r="XO68" s="834"/>
      <c r="XP68" s="834"/>
      <c r="XQ68" s="834"/>
      <c r="XR68" s="834"/>
      <c r="XS68" s="834"/>
      <c r="XT68" s="834"/>
      <c r="XU68" s="834"/>
      <c r="XV68" s="834"/>
      <c r="XW68" s="834"/>
      <c r="XX68" s="834"/>
      <c r="XY68" s="834"/>
      <c r="XZ68" s="834"/>
      <c r="YA68" s="834"/>
      <c r="YB68" s="834"/>
      <c r="YC68" s="834"/>
      <c r="YD68" s="834"/>
      <c r="YE68" s="834"/>
      <c r="YF68" s="834"/>
      <c r="YG68" s="834"/>
      <c r="YH68" s="834"/>
      <c r="YI68" s="834"/>
      <c r="YJ68" s="834"/>
      <c r="YK68" s="834"/>
      <c r="YL68" s="834"/>
      <c r="YM68" s="834"/>
      <c r="YN68" s="834"/>
      <c r="YO68" s="834"/>
      <c r="YP68" s="834"/>
      <c r="YQ68" s="834"/>
      <c r="YR68" s="834"/>
      <c r="YS68" s="834"/>
      <c r="YT68" s="834"/>
      <c r="YU68" s="834"/>
      <c r="YV68" s="834"/>
      <c r="YW68" s="834"/>
      <c r="YX68" s="834"/>
      <c r="YY68" s="834"/>
      <c r="YZ68" s="834"/>
      <c r="ZA68" s="834"/>
      <c r="ZB68" s="834"/>
      <c r="ZC68" s="834"/>
      <c r="ZD68" s="834"/>
      <c r="ZE68" s="834"/>
      <c r="ZF68" s="834"/>
      <c r="ZG68" s="834"/>
      <c r="ZH68" s="834"/>
      <c r="ZI68" s="834"/>
      <c r="ZJ68" s="834"/>
      <c r="ZK68" s="834"/>
      <c r="ZL68" s="834"/>
      <c r="ZM68" s="834"/>
      <c r="ZN68" s="834"/>
      <c r="ZO68" s="834"/>
      <c r="ZP68" s="834"/>
      <c r="ZQ68" s="834"/>
      <c r="ZR68" s="834"/>
      <c r="ZS68" s="834"/>
      <c r="ZT68" s="834"/>
      <c r="ZU68" s="834"/>
      <c r="ZV68" s="834"/>
      <c r="ZW68" s="834"/>
      <c r="ZX68" s="834"/>
      <c r="ZY68" s="834"/>
      <c r="ZZ68" s="834"/>
      <c r="AAA68" s="834"/>
      <c r="AAB68" s="834"/>
      <c r="AAC68" s="834"/>
      <c r="AAD68" s="834"/>
      <c r="AAE68" s="834"/>
      <c r="AAF68" s="834"/>
      <c r="AAG68" s="834"/>
      <c r="AAH68" s="834"/>
      <c r="AAI68" s="834"/>
      <c r="AAJ68" s="834"/>
      <c r="AAK68" s="834"/>
      <c r="AAL68" s="834"/>
      <c r="AAM68" s="834"/>
      <c r="AAN68" s="834"/>
      <c r="AAO68" s="834"/>
      <c r="AAP68" s="834"/>
      <c r="AAQ68" s="834"/>
      <c r="AAR68" s="834"/>
      <c r="AAS68" s="834"/>
      <c r="AAT68" s="834"/>
      <c r="AAU68" s="834"/>
      <c r="AAV68" s="834"/>
      <c r="AAW68" s="834"/>
      <c r="AAX68" s="834"/>
      <c r="AAY68" s="834"/>
      <c r="AAZ68" s="834"/>
      <c r="ABA68" s="834"/>
      <c r="ABB68" s="834"/>
      <c r="ABC68" s="834"/>
      <c r="ABD68" s="834"/>
      <c r="ABE68" s="834"/>
      <c r="ABF68" s="834"/>
      <c r="ABG68" s="834"/>
      <c r="ABH68" s="834"/>
      <c r="ABI68" s="834"/>
      <c r="ABJ68" s="834"/>
      <c r="ABK68" s="834"/>
      <c r="ABL68" s="834"/>
      <c r="ABM68" s="834"/>
      <c r="ABN68" s="834"/>
      <c r="ABO68" s="834"/>
      <c r="ABP68" s="834"/>
      <c r="ABQ68" s="834"/>
      <c r="ABR68" s="834"/>
      <c r="ABS68" s="834"/>
      <c r="ABT68" s="834"/>
      <c r="ABU68" s="834"/>
      <c r="ABV68" s="834"/>
      <c r="ABW68" s="834"/>
      <c r="ABX68" s="834"/>
      <c r="ABY68" s="834"/>
      <c r="ABZ68" s="834"/>
      <c r="ACA68" s="834"/>
      <c r="ACB68" s="834"/>
      <c r="ACC68" s="834"/>
      <c r="ACD68" s="834"/>
      <c r="ACE68" s="834"/>
      <c r="ACF68" s="834"/>
      <c r="ACG68" s="834"/>
      <c r="ACH68" s="834"/>
      <c r="ACI68" s="834"/>
      <c r="ACJ68" s="834"/>
      <c r="ACK68" s="834"/>
      <c r="ACL68" s="834"/>
      <c r="ACM68" s="834"/>
      <c r="ACN68" s="834"/>
      <c r="ACO68" s="834"/>
      <c r="ACP68" s="834"/>
      <c r="ACQ68" s="834"/>
      <c r="ACR68" s="834"/>
      <c r="ACS68" s="834"/>
      <c r="ACT68" s="834"/>
      <c r="ACU68" s="834"/>
      <c r="ACV68" s="834"/>
      <c r="ACW68" s="834"/>
      <c r="ACX68" s="834"/>
      <c r="ACY68" s="834"/>
      <c r="ACZ68" s="834"/>
      <c r="ADA68" s="834"/>
      <c r="ADB68" s="834"/>
      <c r="ADC68" s="834"/>
      <c r="ADD68" s="834"/>
      <c r="ADE68" s="834"/>
      <c r="ADF68" s="834"/>
      <c r="ADG68" s="834"/>
      <c r="ADH68" s="834"/>
      <c r="ADI68" s="834"/>
      <c r="ADJ68" s="834"/>
      <c r="ADK68" s="834"/>
      <c r="ADL68" s="834"/>
      <c r="ADM68" s="834"/>
      <c r="ADN68" s="834"/>
      <c r="ADO68" s="834"/>
      <c r="ADP68" s="834"/>
      <c r="ADQ68" s="834"/>
      <c r="ADR68" s="834"/>
      <c r="ADS68" s="834"/>
      <c r="ADT68" s="834"/>
      <c r="ADU68" s="834"/>
      <c r="ADV68" s="834"/>
      <c r="ADW68" s="834"/>
      <c r="ADX68" s="834"/>
      <c r="ADY68" s="834"/>
      <c r="ADZ68" s="834"/>
      <c r="AEA68" s="834"/>
      <c r="AEB68" s="834"/>
      <c r="AEC68" s="834"/>
      <c r="AED68" s="834"/>
      <c r="AEE68" s="834"/>
      <c r="AEF68" s="834"/>
      <c r="AEG68" s="834"/>
      <c r="AEH68" s="834"/>
      <c r="AEI68" s="834"/>
      <c r="AEJ68" s="834"/>
      <c r="AEK68" s="834"/>
      <c r="AEL68" s="834"/>
      <c r="AEM68" s="834"/>
      <c r="AEN68" s="834"/>
      <c r="AEO68" s="834"/>
      <c r="AEP68" s="834"/>
      <c r="AEQ68" s="834"/>
      <c r="AER68" s="834"/>
      <c r="AES68" s="834"/>
      <c r="AET68" s="834"/>
      <c r="AEU68" s="834"/>
      <c r="AEV68" s="834"/>
      <c r="AEW68" s="834"/>
      <c r="AEX68" s="834"/>
      <c r="AEY68" s="834"/>
      <c r="AEZ68" s="834"/>
      <c r="AFA68" s="834"/>
      <c r="AFB68" s="834"/>
      <c r="AFC68" s="834"/>
      <c r="AFD68" s="834"/>
      <c r="AFE68" s="834"/>
      <c r="AFF68" s="834"/>
      <c r="AFG68" s="834"/>
      <c r="AFH68" s="834"/>
      <c r="AFI68" s="834"/>
      <c r="AFJ68" s="834"/>
      <c r="AFK68" s="834"/>
      <c r="AFL68" s="834"/>
      <c r="AFM68" s="834"/>
      <c r="AFN68" s="834"/>
      <c r="AFO68" s="834"/>
      <c r="AFP68" s="834"/>
      <c r="AFQ68" s="834"/>
      <c r="AFR68" s="834"/>
      <c r="AFS68" s="834"/>
      <c r="AFT68" s="834"/>
      <c r="AFU68" s="834"/>
      <c r="AFV68" s="834"/>
      <c r="AFW68" s="834"/>
      <c r="AFX68" s="834"/>
      <c r="AFY68" s="834"/>
      <c r="AFZ68" s="834"/>
      <c r="AGA68" s="834"/>
      <c r="AGB68" s="834"/>
      <c r="AGC68" s="834"/>
      <c r="AGD68" s="834"/>
      <c r="AGE68" s="834"/>
      <c r="AGF68" s="834"/>
      <c r="AGG68" s="834"/>
      <c r="AGH68" s="834"/>
      <c r="AGI68" s="834"/>
      <c r="AGJ68" s="834"/>
      <c r="AGK68" s="834"/>
      <c r="AGL68" s="834"/>
      <c r="AGM68" s="834"/>
      <c r="AGN68" s="834"/>
      <c r="AGO68" s="834"/>
      <c r="AGP68" s="834"/>
      <c r="AGQ68" s="834"/>
      <c r="AGR68" s="834"/>
      <c r="AGS68" s="834"/>
      <c r="AGT68" s="834"/>
      <c r="AGU68" s="834"/>
      <c r="AGV68" s="834"/>
      <c r="AGW68" s="834"/>
      <c r="AGX68" s="834"/>
      <c r="AGY68" s="834"/>
      <c r="AGZ68" s="834"/>
      <c r="AHA68" s="834"/>
      <c r="AHB68" s="834"/>
      <c r="AHC68" s="834"/>
      <c r="AHD68" s="834"/>
      <c r="AHE68" s="834"/>
      <c r="AHF68" s="834"/>
      <c r="AHG68" s="834"/>
      <c r="AHH68" s="834"/>
      <c r="AHI68" s="834"/>
      <c r="AHJ68" s="834"/>
      <c r="AHK68" s="834"/>
      <c r="AHL68" s="834"/>
      <c r="AHM68" s="834"/>
      <c r="AHN68" s="834"/>
      <c r="AHO68" s="834"/>
      <c r="AHP68" s="834"/>
      <c r="AHQ68" s="834"/>
      <c r="AHR68" s="834"/>
      <c r="AHS68" s="834"/>
      <c r="AHT68" s="834"/>
      <c r="AHU68" s="834"/>
      <c r="AHV68" s="834"/>
      <c r="AHW68" s="834"/>
      <c r="AHX68" s="834"/>
      <c r="AHY68" s="834"/>
      <c r="AHZ68" s="834"/>
      <c r="AIA68" s="834"/>
      <c r="AIB68" s="834"/>
      <c r="AIC68" s="834"/>
      <c r="AID68" s="834"/>
      <c r="AIE68" s="834"/>
      <c r="AIF68" s="834"/>
      <c r="AIG68" s="834"/>
      <c r="AIH68" s="834"/>
      <c r="AII68" s="834"/>
      <c r="AIJ68" s="834"/>
      <c r="AIK68" s="834"/>
      <c r="AIL68" s="834"/>
      <c r="AIM68" s="834"/>
      <c r="AIN68" s="834"/>
      <c r="AIO68" s="834"/>
      <c r="AIP68" s="834"/>
      <c r="AIQ68" s="834"/>
      <c r="AIR68" s="834"/>
      <c r="AIS68" s="834"/>
      <c r="AIT68" s="834"/>
      <c r="AIU68" s="834"/>
      <c r="AIV68" s="834"/>
      <c r="AIW68" s="834"/>
      <c r="AIX68" s="834"/>
      <c r="AIY68" s="834"/>
      <c r="AIZ68" s="834"/>
      <c r="AJA68" s="834"/>
      <c r="AJB68" s="834"/>
      <c r="AJC68" s="834"/>
      <c r="AJD68" s="834"/>
      <c r="AJE68" s="834"/>
      <c r="AJF68" s="834"/>
      <c r="AJG68" s="834"/>
      <c r="AJH68" s="834"/>
      <c r="AJI68" s="834"/>
      <c r="AJJ68" s="834"/>
      <c r="AJK68" s="834"/>
      <c r="AJL68" s="834"/>
      <c r="AJM68" s="834"/>
      <c r="AJN68" s="834"/>
      <c r="AJO68" s="834"/>
      <c r="AJP68" s="834"/>
      <c r="AJQ68" s="834"/>
      <c r="AJR68" s="834"/>
      <c r="AJS68" s="834"/>
      <c r="AJT68" s="834"/>
      <c r="AJU68" s="834"/>
      <c r="AJV68" s="834"/>
      <c r="AJW68" s="834"/>
      <c r="AJX68" s="834"/>
      <c r="AJY68" s="834"/>
      <c r="AJZ68" s="834"/>
      <c r="AKA68" s="834"/>
      <c r="AKB68" s="834"/>
      <c r="AKC68" s="834"/>
      <c r="AKD68" s="834"/>
      <c r="AKE68" s="834"/>
      <c r="AKF68" s="834"/>
      <c r="AKG68" s="834"/>
      <c r="AKH68" s="834"/>
      <c r="AKI68" s="834"/>
      <c r="AKJ68" s="834"/>
      <c r="AKK68" s="834"/>
      <c r="AKL68" s="834"/>
      <c r="AKM68" s="834"/>
      <c r="AKN68" s="834"/>
      <c r="AKO68" s="834"/>
      <c r="AKP68" s="834"/>
      <c r="AKQ68" s="834"/>
      <c r="AKR68" s="834"/>
      <c r="AKS68" s="834"/>
      <c r="AKT68" s="834"/>
      <c r="AKU68" s="834"/>
      <c r="AKV68" s="834"/>
      <c r="AKW68" s="834"/>
      <c r="AKX68" s="834"/>
      <c r="AKY68" s="834"/>
      <c r="AKZ68" s="834"/>
      <c r="ALA68" s="834"/>
      <c r="ALB68" s="834"/>
      <c r="ALC68" s="834"/>
      <c r="ALD68" s="834"/>
      <c r="ALE68" s="834"/>
      <c r="ALF68" s="834"/>
      <c r="ALG68" s="834"/>
      <c r="ALH68" s="834"/>
      <c r="ALI68" s="834"/>
      <c r="ALJ68" s="834"/>
      <c r="ALK68" s="834"/>
      <c r="ALL68" s="834"/>
      <c r="ALM68" s="834"/>
      <c r="ALN68" s="834"/>
      <c r="ALO68" s="834"/>
      <c r="ALP68" s="834"/>
      <c r="ALQ68" s="834"/>
      <c r="ALR68" s="834"/>
      <c r="ALS68" s="834"/>
      <c r="ALT68" s="834"/>
      <c r="ALU68" s="834"/>
      <c r="ALV68" s="834"/>
      <c r="ALW68" s="834"/>
      <c r="ALX68" s="834"/>
      <c r="ALY68" s="834"/>
      <c r="ALZ68" s="834"/>
      <c r="AMA68" s="834"/>
      <c r="AMB68" s="834"/>
      <c r="AMC68" s="834"/>
      <c r="AMD68" s="834"/>
      <c r="AME68" s="834"/>
      <c r="AMF68" s="834"/>
      <c r="AMG68" s="834"/>
      <c r="AMH68" s="834"/>
      <c r="AMI68" s="834"/>
      <c r="AMJ68" s="834"/>
      <c r="AMK68" s="834"/>
      <c r="AML68" s="834"/>
    </row>
    <row r="69" spans="1:1026" ht="54.75" customHeight="1" outlineLevel="1">
      <c r="A69" s="845"/>
      <c r="B69" s="891" t="s">
        <v>153</v>
      </c>
      <c r="C69" s="891" t="s">
        <v>154</v>
      </c>
      <c r="D69" s="450" t="s">
        <v>155</v>
      </c>
      <c r="E69" s="444" t="s">
        <v>27</v>
      </c>
      <c r="F69" s="881">
        <f ca="1">Alvenaria!F48</f>
        <v>1153.6500000000001</v>
      </c>
      <c r="G69" s="893">
        <f>K69</f>
        <v>66.27</v>
      </c>
      <c r="H69" s="883">
        <f ca="1">F69*G69</f>
        <v>76452.385500000004</v>
      </c>
      <c r="I69" s="845"/>
      <c r="J69" s="841">
        <v>52.34</v>
      </c>
      <c r="K69" s="842">
        <f t="shared" si="2"/>
        <v>66.27</v>
      </c>
    </row>
    <row r="70" spans="1:1026" s="826" customFormat="1" ht="24.95" customHeight="1" outlineLevel="1">
      <c r="A70" s="900"/>
      <c r="B70" s="901" t="s">
        <v>156</v>
      </c>
      <c r="C70" s="921"/>
      <c r="D70" s="922" t="s">
        <v>157</v>
      </c>
      <c r="E70" s="418"/>
      <c r="F70" s="903"/>
      <c r="G70" s="904"/>
      <c r="H70" s="905"/>
      <c r="I70" s="900"/>
      <c r="J70" s="917"/>
      <c r="K70" s="918"/>
      <c r="L70" s="834"/>
      <c r="M70" s="834"/>
      <c r="N70" s="834"/>
      <c r="O70" s="834"/>
      <c r="P70" s="834"/>
      <c r="Q70" s="834"/>
      <c r="R70" s="834"/>
      <c r="S70" s="834"/>
      <c r="T70" s="834"/>
      <c r="U70" s="834"/>
      <c r="V70" s="834"/>
      <c r="W70" s="834"/>
      <c r="X70" s="834"/>
      <c r="Y70" s="834"/>
      <c r="Z70" s="834"/>
      <c r="AA70" s="834"/>
      <c r="AB70" s="834"/>
      <c r="AC70" s="834"/>
      <c r="AD70" s="834"/>
      <c r="AE70" s="834"/>
      <c r="AF70" s="834"/>
      <c r="AG70" s="834"/>
      <c r="AH70" s="834"/>
      <c r="AI70" s="834"/>
      <c r="AJ70" s="834"/>
      <c r="AK70" s="834"/>
      <c r="AL70" s="834"/>
      <c r="AM70" s="834"/>
      <c r="AN70" s="834"/>
      <c r="AO70" s="834"/>
      <c r="AP70" s="834"/>
      <c r="AQ70" s="834"/>
      <c r="AR70" s="834"/>
      <c r="AS70" s="834"/>
      <c r="AT70" s="834"/>
      <c r="AU70" s="834"/>
      <c r="AV70" s="834"/>
      <c r="AW70" s="834"/>
      <c r="AX70" s="834"/>
      <c r="AY70" s="834"/>
      <c r="AZ70" s="834"/>
      <c r="BA70" s="834"/>
      <c r="BB70" s="834"/>
      <c r="BC70" s="834"/>
      <c r="BD70" s="834"/>
      <c r="BE70" s="834"/>
      <c r="BF70" s="834"/>
      <c r="BG70" s="834"/>
      <c r="BH70" s="834"/>
      <c r="BI70" s="834"/>
      <c r="BJ70" s="834"/>
      <c r="BK70" s="834"/>
      <c r="BL70" s="834"/>
      <c r="BM70" s="834"/>
      <c r="BN70" s="834"/>
      <c r="BO70" s="834"/>
      <c r="BP70" s="834"/>
      <c r="BQ70" s="834"/>
      <c r="BR70" s="834"/>
      <c r="BS70" s="834"/>
      <c r="BT70" s="834"/>
      <c r="BU70" s="834"/>
      <c r="BV70" s="834"/>
      <c r="BW70" s="834"/>
      <c r="BX70" s="834"/>
      <c r="BY70" s="834"/>
      <c r="BZ70" s="834"/>
      <c r="CA70" s="834"/>
      <c r="CB70" s="834"/>
      <c r="CC70" s="834"/>
      <c r="CD70" s="834"/>
      <c r="CE70" s="834"/>
      <c r="CF70" s="834"/>
      <c r="CG70" s="834"/>
      <c r="CH70" s="834"/>
      <c r="CI70" s="834"/>
      <c r="CJ70" s="834"/>
      <c r="CK70" s="834"/>
      <c r="CL70" s="834"/>
      <c r="CM70" s="834"/>
      <c r="CN70" s="834"/>
      <c r="CO70" s="834"/>
      <c r="CP70" s="834"/>
      <c r="CQ70" s="834"/>
      <c r="CR70" s="834"/>
      <c r="CS70" s="834"/>
      <c r="CT70" s="834"/>
      <c r="CU70" s="834"/>
      <c r="CV70" s="834"/>
      <c r="CW70" s="834"/>
      <c r="CX70" s="834"/>
      <c r="CY70" s="834"/>
      <c r="CZ70" s="834"/>
      <c r="DA70" s="834"/>
      <c r="DB70" s="834"/>
      <c r="DC70" s="834"/>
      <c r="DD70" s="834"/>
      <c r="DE70" s="834"/>
      <c r="DF70" s="834"/>
      <c r="DG70" s="834"/>
      <c r="DH70" s="834"/>
      <c r="DI70" s="834"/>
      <c r="DJ70" s="834"/>
      <c r="DK70" s="834"/>
      <c r="DL70" s="834"/>
      <c r="DM70" s="834"/>
      <c r="DN70" s="834"/>
      <c r="DO70" s="834"/>
      <c r="DP70" s="834"/>
      <c r="DQ70" s="834"/>
      <c r="DR70" s="834"/>
      <c r="DS70" s="834"/>
      <c r="DT70" s="834"/>
      <c r="DU70" s="834"/>
      <c r="DV70" s="834"/>
      <c r="DW70" s="834"/>
      <c r="DX70" s="834"/>
      <c r="DY70" s="834"/>
      <c r="DZ70" s="834"/>
      <c r="EA70" s="834"/>
      <c r="EB70" s="834"/>
      <c r="EC70" s="834"/>
      <c r="ED70" s="834"/>
      <c r="EE70" s="834"/>
      <c r="EF70" s="834"/>
      <c r="EG70" s="834"/>
      <c r="EH70" s="834"/>
      <c r="EI70" s="834"/>
      <c r="EJ70" s="834"/>
      <c r="EK70" s="834"/>
      <c r="EL70" s="834"/>
      <c r="EM70" s="834"/>
      <c r="EN70" s="834"/>
      <c r="EO70" s="834"/>
      <c r="EP70" s="834"/>
      <c r="EQ70" s="834"/>
      <c r="ER70" s="834"/>
      <c r="ES70" s="834"/>
      <c r="ET70" s="834"/>
      <c r="EU70" s="834"/>
      <c r="EV70" s="834"/>
      <c r="EW70" s="834"/>
      <c r="EX70" s="834"/>
      <c r="EY70" s="834"/>
      <c r="EZ70" s="834"/>
      <c r="FA70" s="834"/>
      <c r="FB70" s="834"/>
      <c r="FC70" s="834"/>
      <c r="FD70" s="834"/>
      <c r="FE70" s="834"/>
      <c r="FF70" s="834"/>
      <c r="FG70" s="834"/>
      <c r="FH70" s="834"/>
      <c r="FI70" s="834"/>
      <c r="FJ70" s="834"/>
      <c r="FK70" s="834"/>
      <c r="FL70" s="834"/>
      <c r="FM70" s="834"/>
      <c r="FN70" s="834"/>
      <c r="FO70" s="834"/>
      <c r="FP70" s="834"/>
      <c r="FQ70" s="834"/>
      <c r="FR70" s="834"/>
      <c r="FS70" s="834"/>
      <c r="FT70" s="834"/>
      <c r="FU70" s="834"/>
      <c r="FV70" s="834"/>
      <c r="FW70" s="834"/>
      <c r="FX70" s="834"/>
      <c r="FY70" s="834"/>
      <c r="FZ70" s="834"/>
      <c r="GA70" s="834"/>
      <c r="GB70" s="834"/>
      <c r="GC70" s="834"/>
      <c r="GD70" s="834"/>
      <c r="GE70" s="834"/>
      <c r="GF70" s="834"/>
      <c r="GG70" s="834"/>
      <c r="GH70" s="834"/>
      <c r="GI70" s="834"/>
      <c r="GJ70" s="834"/>
      <c r="GK70" s="834"/>
      <c r="GL70" s="834"/>
      <c r="GM70" s="834"/>
      <c r="GN70" s="834"/>
      <c r="GO70" s="834"/>
      <c r="GP70" s="834"/>
      <c r="GQ70" s="834"/>
      <c r="GR70" s="834"/>
      <c r="GS70" s="834"/>
      <c r="GT70" s="834"/>
      <c r="GU70" s="834"/>
      <c r="GV70" s="834"/>
      <c r="GW70" s="834"/>
      <c r="GX70" s="834"/>
      <c r="GY70" s="834"/>
      <c r="GZ70" s="834"/>
      <c r="HA70" s="834"/>
      <c r="HB70" s="834"/>
      <c r="HC70" s="834"/>
      <c r="HD70" s="834"/>
      <c r="HE70" s="834"/>
      <c r="HF70" s="834"/>
      <c r="HG70" s="834"/>
      <c r="HH70" s="834"/>
      <c r="HI70" s="834"/>
      <c r="HJ70" s="834"/>
      <c r="HK70" s="834"/>
      <c r="HL70" s="834"/>
      <c r="HM70" s="834"/>
      <c r="HN70" s="834"/>
      <c r="HO70" s="834"/>
      <c r="HP70" s="834"/>
      <c r="HQ70" s="834"/>
      <c r="HR70" s="834"/>
      <c r="HS70" s="834"/>
      <c r="HT70" s="834"/>
      <c r="HU70" s="834"/>
      <c r="HV70" s="834"/>
      <c r="HW70" s="834"/>
      <c r="HX70" s="834"/>
      <c r="HY70" s="834"/>
      <c r="HZ70" s="834"/>
      <c r="IA70" s="834"/>
      <c r="IB70" s="834"/>
      <c r="IC70" s="834"/>
      <c r="ID70" s="834"/>
      <c r="IE70" s="834"/>
      <c r="IF70" s="834"/>
      <c r="IG70" s="834"/>
      <c r="IH70" s="834"/>
      <c r="II70" s="834"/>
      <c r="IJ70" s="834"/>
      <c r="IK70" s="834"/>
      <c r="IL70" s="834"/>
      <c r="IM70" s="834"/>
      <c r="IN70" s="834"/>
      <c r="IO70" s="834"/>
      <c r="IP70" s="834"/>
      <c r="IQ70" s="834"/>
      <c r="IR70" s="834"/>
      <c r="IS70" s="834"/>
      <c r="IT70" s="834"/>
      <c r="IU70" s="834"/>
      <c r="IV70" s="834"/>
      <c r="IW70" s="834"/>
      <c r="IX70" s="834"/>
      <c r="IY70" s="834"/>
      <c r="IZ70" s="834"/>
      <c r="JA70" s="834"/>
      <c r="JB70" s="834"/>
      <c r="JC70" s="834"/>
      <c r="JD70" s="834"/>
      <c r="JE70" s="834"/>
      <c r="JF70" s="834"/>
      <c r="JG70" s="834"/>
      <c r="JH70" s="834"/>
      <c r="JI70" s="834"/>
      <c r="JJ70" s="834"/>
      <c r="JK70" s="834"/>
      <c r="JL70" s="834"/>
      <c r="JM70" s="834"/>
      <c r="JN70" s="834"/>
      <c r="JO70" s="834"/>
      <c r="JP70" s="834"/>
      <c r="JQ70" s="834"/>
      <c r="JR70" s="834"/>
      <c r="JS70" s="834"/>
      <c r="JT70" s="834"/>
      <c r="JU70" s="834"/>
      <c r="JV70" s="834"/>
      <c r="JW70" s="834"/>
      <c r="JX70" s="834"/>
      <c r="JY70" s="834"/>
      <c r="JZ70" s="834"/>
      <c r="KA70" s="834"/>
      <c r="KB70" s="834"/>
      <c r="KC70" s="834"/>
      <c r="KD70" s="834"/>
      <c r="KE70" s="834"/>
      <c r="KF70" s="834"/>
      <c r="KG70" s="834"/>
      <c r="KH70" s="834"/>
      <c r="KI70" s="834"/>
      <c r="KJ70" s="834"/>
      <c r="KK70" s="834"/>
      <c r="KL70" s="834"/>
      <c r="KM70" s="834"/>
      <c r="KN70" s="834"/>
      <c r="KO70" s="834"/>
      <c r="KP70" s="834"/>
      <c r="KQ70" s="834"/>
      <c r="KR70" s="834"/>
      <c r="KS70" s="834"/>
      <c r="KT70" s="834"/>
      <c r="KU70" s="834"/>
      <c r="KV70" s="834"/>
      <c r="KW70" s="834"/>
      <c r="KX70" s="834"/>
      <c r="KY70" s="834"/>
      <c r="KZ70" s="834"/>
      <c r="LA70" s="834"/>
      <c r="LB70" s="834"/>
      <c r="LC70" s="834"/>
      <c r="LD70" s="834"/>
      <c r="LE70" s="834"/>
      <c r="LF70" s="834"/>
      <c r="LG70" s="834"/>
      <c r="LH70" s="834"/>
      <c r="LI70" s="834"/>
      <c r="LJ70" s="834"/>
      <c r="LK70" s="834"/>
      <c r="LL70" s="834"/>
      <c r="LM70" s="834"/>
      <c r="LN70" s="834"/>
      <c r="LO70" s="834"/>
      <c r="LP70" s="834"/>
      <c r="LQ70" s="834"/>
      <c r="LR70" s="834"/>
      <c r="LS70" s="834"/>
      <c r="LT70" s="834"/>
      <c r="LU70" s="834"/>
      <c r="LV70" s="834"/>
      <c r="LW70" s="834"/>
      <c r="LX70" s="834"/>
      <c r="LY70" s="834"/>
      <c r="LZ70" s="834"/>
      <c r="MA70" s="834"/>
      <c r="MB70" s="834"/>
      <c r="MC70" s="834"/>
      <c r="MD70" s="834"/>
      <c r="ME70" s="834"/>
      <c r="MF70" s="834"/>
      <c r="MG70" s="834"/>
      <c r="MH70" s="834"/>
      <c r="MI70" s="834"/>
      <c r="MJ70" s="834"/>
      <c r="MK70" s="834"/>
      <c r="ML70" s="834"/>
      <c r="MM70" s="834"/>
      <c r="MN70" s="834"/>
      <c r="MO70" s="834"/>
      <c r="MP70" s="834"/>
      <c r="MQ70" s="834"/>
      <c r="MR70" s="834"/>
      <c r="MS70" s="834"/>
      <c r="MT70" s="834"/>
      <c r="MU70" s="834"/>
      <c r="MV70" s="834"/>
      <c r="MW70" s="834"/>
      <c r="MX70" s="834"/>
      <c r="MY70" s="834"/>
      <c r="MZ70" s="834"/>
      <c r="NA70" s="834"/>
      <c r="NB70" s="834"/>
      <c r="NC70" s="834"/>
      <c r="ND70" s="834"/>
      <c r="NE70" s="834"/>
      <c r="NF70" s="834"/>
      <c r="NG70" s="834"/>
      <c r="NH70" s="834"/>
      <c r="NI70" s="834"/>
      <c r="NJ70" s="834"/>
      <c r="NK70" s="834"/>
      <c r="NL70" s="834"/>
      <c r="NM70" s="834"/>
      <c r="NN70" s="834"/>
      <c r="NO70" s="834"/>
      <c r="NP70" s="834"/>
      <c r="NQ70" s="834"/>
      <c r="NR70" s="834"/>
      <c r="NS70" s="834"/>
      <c r="NT70" s="834"/>
      <c r="NU70" s="834"/>
      <c r="NV70" s="834"/>
      <c r="NW70" s="834"/>
      <c r="NX70" s="834"/>
      <c r="NY70" s="834"/>
      <c r="NZ70" s="834"/>
      <c r="OA70" s="834"/>
      <c r="OB70" s="834"/>
      <c r="OC70" s="834"/>
      <c r="OD70" s="834"/>
      <c r="OE70" s="834"/>
      <c r="OF70" s="834"/>
      <c r="OG70" s="834"/>
      <c r="OH70" s="834"/>
      <c r="OI70" s="834"/>
      <c r="OJ70" s="834"/>
      <c r="OK70" s="834"/>
      <c r="OL70" s="834"/>
      <c r="OM70" s="834"/>
      <c r="ON70" s="834"/>
      <c r="OO70" s="834"/>
      <c r="OP70" s="834"/>
      <c r="OQ70" s="834"/>
      <c r="OR70" s="834"/>
      <c r="OS70" s="834"/>
      <c r="OT70" s="834"/>
      <c r="OU70" s="834"/>
      <c r="OV70" s="834"/>
      <c r="OW70" s="834"/>
      <c r="OX70" s="834"/>
      <c r="OY70" s="834"/>
      <c r="OZ70" s="834"/>
      <c r="PA70" s="834"/>
      <c r="PB70" s="834"/>
      <c r="PC70" s="834"/>
      <c r="PD70" s="834"/>
      <c r="PE70" s="834"/>
      <c r="PF70" s="834"/>
      <c r="PG70" s="834"/>
      <c r="PH70" s="834"/>
      <c r="PI70" s="834"/>
      <c r="PJ70" s="834"/>
      <c r="PK70" s="834"/>
      <c r="PL70" s="834"/>
      <c r="PM70" s="834"/>
      <c r="PN70" s="834"/>
      <c r="PO70" s="834"/>
      <c r="PP70" s="834"/>
      <c r="PQ70" s="834"/>
      <c r="PR70" s="834"/>
      <c r="PS70" s="834"/>
      <c r="PT70" s="834"/>
      <c r="PU70" s="834"/>
      <c r="PV70" s="834"/>
      <c r="PW70" s="834"/>
      <c r="PX70" s="834"/>
      <c r="PY70" s="834"/>
      <c r="PZ70" s="834"/>
      <c r="QA70" s="834"/>
      <c r="QB70" s="834"/>
      <c r="QC70" s="834"/>
      <c r="QD70" s="834"/>
      <c r="QE70" s="834"/>
      <c r="QF70" s="834"/>
      <c r="QG70" s="834"/>
      <c r="QH70" s="834"/>
      <c r="QI70" s="834"/>
      <c r="QJ70" s="834"/>
      <c r="QK70" s="834"/>
      <c r="QL70" s="834"/>
      <c r="QM70" s="834"/>
      <c r="QN70" s="834"/>
      <c r="QO70" s="834"/>
      <c r="QP70" s="834"/>
      <c r="QQ70" s="834"/>
      <c r="QR70" s="834"/>
      <c r="QS70" s="834"/>
      <c r="QT70" s="834"/>
      <c r="QU70" s="834"/>
      <c r="QV70" s="834"/>
      <c r="QW70" s="834"/>
      <c r="QX70" s="834"/>
      <c r="QY70" s="834"/>
      <c r="QZ70" s="834"/>
      <c r="RA70" s="834"/>
      <c r="RB70" s="834"/>
      <c r="RC70" s="834"/>
      <c r="RD70" s="834"/>
      <c r="RE70" s="834"/>
      <c r="RF70" s="834"/>
      <c r="RG70" s="834"/>
      <c r="RH70" s="834"/>
      <c r="RI70" s="834"/>
      <c r="RJ70" s="834"/>
      <c r="RK70" s="834"/>
      <c r="RL70" s="834"/>
      <c r="RM70" s="834"/>
      <c r="RN70" s="834"/>
      <c r="RO70" s="834"/>
      <c r="RP70" s="834"/>
      <c r="RQ70" s="834"/>
      <c r="RR70" s="834"/>
      <c r="RS70" s="834"/>
      <c r="RT70" s="834"/>
      <c r="RU70" s="834"/>
      <c r="RV70" s="834"/>
      <c r="RW70" s="834"/>
      <c r="RX70" s="834"/>
      <c r="RY70" s="834"/>
      <c r="RZ70" s="834"/>
      <c r="SA70" s="834"/>
      <c r="SB70" s="834"/>
      <c r="SC70" s="834"/>
      <c r="SD70" s="834"/>
      <c r="SE70" s="834"/>
      <c r="SF70" s="834"/>
      <c r="SG70" s="834"/>
      <c r="SH70" s="834"/>
      <c r="SI70" s="834"/>
      <c r="SJ70" s="834"/>
      <c r="SK70" s="834"/>
      <c r="SL70" s="834"/>
      <c r="SM70" s="834"/>
      <c r="SN70" s="834"/>
      <c r="SO70" s="834"/>
      <c r="SP70" s="834"/>
      <c r="SQ70" s="834"/>
      <c r="SR70" s="834"/>
      <c r="SS70" s="834"/>
      <c r="ST70" s="834"/>
      <c r="SU70" s="834"/>
      <c r="SV70" s="834"/>
      <c r="SW70" s="834"/>
      <c r="SX70" s="834"/>
      <c r="SY70" s="834"/>
      <c r="SZ70" s="834"/>
      <c r="TA70" s="834"/>
      <c r="TB70" s="834"/>
      <c r="TC70" s="834"/>
      <c r="TD70" s="834"/>
      <c r="TE70" s="834"/>
      <c r="TF70" s="834"/>
      <c r="TG70" s="834"/>
      <c r="TH70" s="834"/>
      <c r="TI70" s="834"/>
      <c r="TJ70" s="834"/>
      <c r="TK70" s="834"/>
      <c r="TL70" s="834"/>
      <c r="TM70" s="834"/>
      <c r="TN70" s="834"/>
      <c r="TO70" s="834"/>
      <c r="TP70" s="834"/>
      <c r="TQ70" s="834"/>
      <c r="TR70" s="834"/>
      <c r="TS70" s="834"/>
      <c r="TT70" s="834"/>
      <c r="TU70" s="834"/>
      <c r="TV70" s="834"/>
      <c r="TW70" s="834"/>
      <c r="TX70" s="834"/>
      <c r="TY70" s="834"/>
      <c r="TZ70" s="834"/>
      <c r="UA70" s="834"/>
      <c r="UB70" s="834"/>
      <c r="UC70" s="834"/>
      <c r="UD70" s="834"/>
      <c r="UE70" s="834"/>
      <c r="UF70" s="834"/>
      <c r="UG70" s="834"/>
      <c r="UH70" s="834"/>
      <c r="UI70" s="834"/>
      <c r="UJ70" s="834"/>
      <c r="UK70" s="834"/>
      <c r="UL70" s="834"/>
      <c r="UM70" s="834"/>
      <c r="UN70" s="834"/>
      <c r="UO70" s="834"/>
      <c r="UP70" s="834"/>
      <c r="UQ70" s="834"/>
      <c r="UR70" s="834"/>
      <c r="US70" s="834"/>
      <c r="UT70" s="834"/>
      <c r="UU70" s="834"/>
      <c r="UV70" s="834"/>
      <c r="UW70" s="834"/>
      <c r="UX70" s="834"/>
      <c r="UY70" s="834"/>
      <c r="UZ70" s="834"/>
      <c r="VA70" s="834"/>
      <c r="VB70" s="834"/>
      <c r="VC70" s="834"/>
      <c r="VD70" s="834"/>
      <c r="VE70" s="834"/>
      <c r="VF70" s="834"/>
      <c r="VG70" s="834"/>
      <c r="VH70" s="834"/>
      <c r="VI70" s="834"/>
      <c r="VJ70" s="834"/>
      <c r="VK70" s="834"/>
      <c r="VL70" s="834"/>
      <c r="VM70" s="834"/>
      <c r="VN70" s="834"/>
      <c r="VO70" s="834"/>
      <c r="VP70" s="834"/>
      <c r="VQ70" s="834"/>
      <c r="VR70" s="834"/>
      <c r="VS70" s="834"/>
      <c r="VT70" s="834"/>
      <c r="VU70" s="834"/>
      <c r="VV70" s="834"/>
      <c r="VW70" s="834"/>
      <c r="VX70" s="834"/>
      <c r="VY70" s="834"/>
      <c r="VZ70" s="834"/>
      <c r="WA70" s="834"/>
      <c r="WB70" s="834"/>
      <c r="WC70" s="834"/>
      <c r="WD70" s="834"/>
      <c r="WE70" s="834"/>
      <c r="WF70" s="834"/>
      <c r="WG70" s="834"/>
      <c r="WH70" s="834"/>
      <c r="WI70" s="834"/>
      <c r="WJ70" s="834"/>
      <c r="WK70" s="834"/>
      <c r="WL70" s="834"/>
      <c r="WM70" s="834"/>
      <c r="WN70" s="834"/>
      <c r="WO70" s="834"/>
      <c r="WP70" s="834"/>
      <c r="WQ70" s="834"/>
      <c r="WR70" s="834"/>
      <c r="WS70" s="834"/>
      <c r="WT70" s="834"/>
      <c r="WU70" s="834"/>
      <c r="WV70" s="834"/>
      <c r="WW70" s="834"/>
      <c r="WX70" s="834"/>
      <c r="WY70" s="834"/>
      <c r="WZ70" s="834"/>
      <c r="XA70" s="834"/>
      <c r="XB70" s="834"/>
      <c r="XC70" s="834"/>
      <c r="XD70" s="834"/>
      <c r="XE70" s="834"/>
      <c r="XF70" s="834"/>
      <c r="XG70" s="834"/>
      <c r="XH70" s="834"/>
      <c r="XI70" s="834"/>
      <c r="XJ70" s="834"/>
      <c r="XK70" s="834"/>
      <c r="XL70" s="834"/>
      <c r="XM70" s="834"/>
      <c r="XN70" s="834"/>
      <c r="XO70" s="834"/>
      <c r="XP70" s="834"/>
      <c r="XQ70" s="834"/>
      <c r="XR70" s="834"/>
      <c r="XS70" s="834"/>
      <c r="XT70" s="834"/>
      <c r="XU70" s="834"/>
      <c r="XV70" s="834"/>
      <c r="XW70" s="834"/>
      <c r="XX70" s="834"/>
      <c r="XY70" s="834"/>
      <c r="XZ70" s="834"/>
      <c r="YA70" s="834"/>
      <c r="YB70" s="834"/>
      <c r="YC70" s="834"/>
      <c r="YD70" s="834"/>
      <c r="YE70" s="834"/>
      <c r="YF70" s="834"/>
      <c r="YG70" s="834"/>
      <c r="YH70" s="834"/>
      <c r="YI70" s="834"/>
      <c r="YJ70" s="834"/>
      <c r="YK70" s="834"/>
      <c r="YL70" s="834"/>
      <c r="YM70" s="834"/>
      <c r="YN70" s="834"/>
      <c r="YO70" s="834"/>
      <c r="YP70" s="834"/>
      <c r="YQ70" s="834"/>
      <c r="YR70" s="834"/>
      <c r="YS70" s="834"/>
      <c r="YT70" s="834"/>
      <c r="YU70" s="834"/>
      <c r="YV70" s="834"/>
      <c r="YW70" s="834"/>
      <c r="YX70" s="834"/>
      <c r="YY70" s="834"/>
      <c r="YZ70" s="834"/>
      <c r="ZA70" s="834"/>
      <c r="ZB70" s="834"/>
      <c r="ZC70" s="834"/>
      <c r="ZD70" s="834"/>
      <c r="ZE70" s="834"/>
      <c r="ZF70" s="834"/>
      <c r="ZG70" s="834"/>
      <c r="ZH70" s="834"/>
      <c r="ZI70" s="834"/>
      <c r="ZJ70" s="834"/>
      <c r="ZK70" s="834"/>
      <c r="ZL70" s="834"/>
      <c r="ZM70" s="834"/>
      <c r="ZN70" s="834"/>
      <c r="ZO70" s="834"/>
      <c r="ZP70" s="834"/>
      <c r="ZQ70" s="834"/>
      <c r="ZR70" s="834"/>
      <c r="ZS70" s="834"/>
      <c r="ZT70" s="834"/>
      <c r="ZU70" s="834"/>
      <c r="ZV70" s="834"/>
      <c r="ZW70" s="834"/>
      <c r="ZX70" s="834"/>
      <c r="ZY70" s="834"/>
      <c r="ZZ70" s="834"/>
      <c r="AAA70" s="834"/>
      <c r="AAB70" s="834"/>
      <c r="AAC70" s="834"/>
      <c r="AAD70" s="834"/>
      <c r="AAE70" s="834"/>
      <c r="AAF70" s="834"/>
      <c r="AAG70" s="834"/>
      <c r="AAH70" s="834"/>
      <c r="AAI70" s="834"/>
      <c r="AAJ70" s="834"/>
      <c r="AAK70" s="834"/>
      <c r="AAL70" s="834"/>
      <c r="AAM70" s="834"/>
      <c r="AAN70" s="834"/>
      <c r="AAO70" s="834"/>
      <c r="AAP70" s="834"/>
      <c r="AAQ70" s="834"/>
      <c r="AAR70" s="834"/>
      <c r="AAS70" s="834"/>
      <c r="AAT70" s="834"/>
      <c r="AAU70" s="834"/>
      <c r="AAV70" s="834"/>
      <c r="AAW70" s="834"/>
      <c r="AAX70" s="834"/>
      <c r="AAY70" s="834"/>
      <c r="AAZ70" s="834"/>
      <c r="ABA70" s="834"/>
      <c r="ABB70" s="834"/>
      <c r="ABC70" s="834"/>
      <c r="ABD70" s="834"/>
      <c r="ABE70" s="834"/>
      <c r="ABF70" s="834"/>
      <c r="ABG70" s="834"/>
      <c r="ABH70" s="834"/>
      <c r="ABI70" s="834"/>
      <c r="ABJ70" s="834"/>
      <c r="ABK70" s="834"/>
      <c r="ABL70" s="834"/>
      <c r="ABM70" s="834"/>
      <c r="ABN70" s="834"/>
      <c r="ABO70" s="834"/>
      <c r="ABP70" s="834"/>
      <c r="ABQ70" s="834"/>
      <c r="ABR70" s="834"/>
      <c r="ABS70" s="834"/>
      <c r="ABT70" s="834"/>
      <c r="ABU70" s="834"/>
      <c r="ABV70" s="834"/>
      <c r="ABW70" s="834"/>
      <c r="ABX70" s="834"/>
      <c r="ABY70" s="834"/>
      <c r="ABZ70" s="834"/>
      <c r="ACA70" s="834"/>
      <c r="ACB70" s="834"/>
      <c r="ACC70" s="834"/>
      <c r="ACD70" s="834"/>
      <c r="ACE70" s="834"/>
      <c r="ACF70" s="834"/>
      <c r="ACG70" s="834"/>
      <c r="ACH70" s="834"/>
      <c r="ACI70" s="834"/>
      <c r="ACJ70" s="834"/>
      <c r="ACK70" s="834"/>
      <c r="ACL70" s="834"/>
      <c r="ACM70" s="834"/>
      <c r="ACN70" s="834"/>
      <c r="ACO70" s="834"/>
      <c r="ACP70" s="834"/>
      <c r="ACQ70" s="834"/>
      <c r="ACR70" s="834"/>
      <c r="ACS70" s="834"/>
      <c r="ACT70" s="834"/>
      <c r="ACU70" s="834"/>
      <c r="ACV70" s="834"/>
      <c r="ACW70" s="834"/>
      <c r="ACX70" s="834"/>
      <c r="ACY70" s="834"/>
      <c r="ACZ70" s="834"/>
      <c r="ADA70" s="834"/>
      <c r="ADB70" s="834"/>
      <c r="ADC70" s="834"/>
      <c r="ADD70" s="834"/>
      <c r="ADE70" s="834"/>
      <c r="ADF70" s="834"/>
      <c r="ADG70" s="834"/>
      <c r="ADH70" s="834"/>
      <c r="ADI70" s="834"/>
      <c r="ADJ70" s="834"/>
      <c r="ADK70" s="834"/>
      <c r="ADL70" s="834"/>
      <c r="ADM70" s="834"/>
      <c r="ADN70" s="834"/>
      <c r="ADO70" s="834"/>
      <c r="ADP70" s="834"/>
      <c r="ADQ70" s="834"/>
      <c r="ADR70" s="834"/>
      <c r="ADS70" s="834"/>
      <c r="ADT70" s="834"/>
      <c r="ADU70" s="834"/>
      <c r="ADV70" s="834"/>
      <c r="ADW70" s="834"/>
      <c r="ADX70" s="834"/>
      <c r="ADY70" s="834"/>
      <c r="ADZ70" s="834"/>
      <c r="AEA70" s="834"/>
      <c r="AEB70" s="834"/>
      <c r="AEC70" s="834"/>
      <c r="AED70" s="834"/>
      <c r="AEE70" s="834"/>
      <c r="AEF70" s="834"/>
      <c r="AEG70" s="834"/>
      <c r="AEH70" s="834"/>
      <c r="AEI70" s="834"/>
      <c r="AEJ70" s="834"/>
      <c r="AEK70" s="834"/>
      <c r="AEL70" s="834"/>
      <c r="AEM70" s="834"/>
      <c r="AEN70" s="834"/>
      <c r="AEO70" s="834"/>
      <c r="AEP70" s="834"/>
      <c r="AEQ70" s="834"/>
      <c r="AER70" s="834"/>
      <c r="AES70" s="834"/>
      <c r="AET70" s="834"/>
      <c r="AEU70" s="834"/>
      <c r="AEV70" s="834"/>
      <c r="AEW70" s="834"/>
      <c r="AEX70" s="834"/>
      <c r="AEY70" s="834"/>
      <c r="AEZ70" s="834"/>
      <c r="AFA70" s="834"/>
      <c r="AFB70" s="834"/>
      <c r="AFC70" s="834"/>
      <c r="AFD70" s="834"/>
      <c r="AFE70" s="834"/>
      <c r="AFF70" s="834"/>
      <c r="AFG70" s="834"/>
      <c r="AFH70" s="834"/>
      <c r="AFI70" s="834"/>
      <c r="AFJ70" s="834"/>
      <c r="AFK70" s="834"/>
      <c r="AFL70" s="834"/>
      <c r="AFM70" s="834"/>
      <c r="AFN70" s="834"/>
      <c r="AFO70" s="834"/>
      <c r="AFP70" s="834"/>
      <c r="AFQ70" s="834"/>
      <c r="AFR70" s="834"/>
      <c r="AFS70" s="834"/>
      <c r="AFT70" s="834"/>
      <c r="AFU70" s="834"/>
      <c r="AFV70" s="834"/>
      <c r="AFW70" s="834"/>
      <c r="AFX70" s="834"/>
      <c r="AFY70" s="834"/>
      <c r="AFZ70" s="834"/>
      <c r="AGA70" s="834"/>
      <c r="AGB70" s="834"/>
      <c r="AGC70" s="834"/>
      <c r="AGD70" s="834"/>
      <c r="AGE70" s="834"/>
      <c r="AGF70" s="834"/>
      <c r="AGG70" s="834"/>
      <c r="AGH70" s="834"/>
      <c r="AGI70" s="834"/>
      <c r="AGJ70" s="834"/>
      <c r="AGK70" s="834"/>
      <c r="AGL70" s="834"/>
      <c r="AGM70" s="834"/>
      <c r="AGN70" s="834"/>
      <c r="AGO70" s="834"/>
      <c r="AGP70" s="834"/>
      <c r="AGQ70" s="834"/>
      <c r="AGR70" s="834"/>
      <c r="AGS70" s="834"/>
      <c r="AGT70" s="834"/>
      <c r="AGU70" s="834"/>
      <c r="AGV70" s="834"/>
      <c r="AGW70" s="834"/>
      <c r="AGX70" s="834"/>
      <c r="AGY70" s="834"/>
      <c r="AGZ70" s="834"/>
      <c r="AHA70" s="834"/>
      <c r="AHB70" s="834"/>
      <c r="AHC70" s="834"/>
      <c r="AHD70" s="834"/>
      <c r="AHE70" s="834"/>
      <c r="AHF70" s="834"/>
      <c r="AHG70" s="834"/>
      <c r="AHH70" s="834"/>
      <c r="AHI70" s="834"/>
      <c r="AHJ70" s="834"/>
      <c r="AHK70" s="834"/>
      <c r="AHL70" s="834"/>
      <c r="AHM70" s="834"/>
      <c r="AHN70" s="834"/>
      <c r="AHO70" s="834"/>
      <c r="AHP70" s="834"/>
      <c r="AHQ70" s="834"/>
      <c r="AHR70" s="834"/>
      <c r="AHS70" s="834"/>
      <c r="AHT70" s="834"/>
      <c r="AHU70" s="834"/>
      <c r="AHV70" s="834"/>
      <c r="AHW70" s="834"/>
      <c r="AHX70" s="834"/>
      <c r="AHY70" s="834"/>
      <c r="AHZ70" s="834"/>
      <c r="AIA70" s="834"/>
      <c r="AIB70" s="834"/>
      <c r="AIC70" s="834"/>
      <c r="AID70" s="834"/>
      <c r="AIE70" s="834"/>
      <c r="AIF70" s="834"/>
      <c r="AIG70" s="834"/>
      <c r="AIH70" s="834"/>
      <c r="AII70" s="834"/>
      <c r="AIJ70" s="834"/>
      <c r="AIK70" s="834"/>
      <c r="AIL70" s="834"/>
      <c r="AIM70" s="834"/>
      <c r="AIN70" s="834"/>
      <c r="AIO70" s="834"/>
      <c r="AIP70" s="834"/>
      <c r="AIQ70" s="834"/>
      <c r="AIR70" s="834"/>
      <c r="AIS70" s="834"/>
      <c r="AIT70" s="834"/>
      <c r="AIU70" s="834"/>
      <c r="AIV70" s="834"/>
      <c r="AIW70" s="834"/>
      <c r="AIX70" s="834"/>
      <c r="AIY70" s="834"/>
      <c r="AIZ70" s="834"/>
      <c r="AJA70" s="834"/>
      <c r="AJB70" s="834"/>
      <c r="AJC70" s="834"/>
      <c r="AJD70" s="834"/>
      <c r="AJE70" s="834"/>
      <c r="AJF70" s="834"/>
      <c r="AJG70" s="834"/>
      <c r="AJH70" s="834"/>
      <c r="AJI70" s="834"/>
      <c r="AJJ70" s="834"/>
      <c r="AJK70" s="834"/>
      <c r="AJL70" s="834"/>
      <c r="AJM70" s="834"/>
      <c r="AJN70" s="834"/>
      <c r="AJO70" s="834"/>
      <c r="AJP70" s="834"/>
      <c r="AJQ70" s="834"/>
      <c r="AJR70" s="834"/>
      <c r="AJS70" s="834"/>
      <c r="AJT70" s="834"/>
      <c r="AJU70" s="834"/>
      <c r="AJV70" s="834"/>
      <c r="AJW70" s="834"/>
      <c r="AJX70" s="834"/>
      <c r="AJY70" s="834"/>
      <c r="AJZ70" s="834"/>
      <c r="AKA70" s="834"/>
      <c r="AKB70" s="834"/>
      <c r="AKC70" s="834"/>
      <c r="AKD70" s="834"/>
      <c r="AKE70" s="834"/>
      <c r="AKF70" s="834"/>
      <c r="AKG70" s="834"/>
      <c r="AKH70" s="834"/>
      <c r="AKI70" s="834"/>
      <c r="AKJ70" s="834"/>
      <c r="AKK70" s="834"/>
      <c r="AKL70" s="834"/>
      <c r="AKM70" s="834"/>
      <c r="AKN70" s="834"/>
      <c r="AKO70" s="834"/>
      <c r="AKP70" s="834"/>
      <c r="AKQ70" s="834"/>
      <c r="AKR70" s="834"/>
      <c r="AKS70" s="834"/>
      <c r="AKT70" s="834"/>
      <c r="AKU70" s="834"/>
      <c r="AKV70" s="834"/>
      <c r="AKW70" s="834"/>
      <c r="AKX70" s="834"/>
      <c r="AKY70" s="834"/>
      <c r="AKZ70" s="834"/>
      <c r="ALA70" s="834"/>
      <c r="ALB70" s="834"/>
      <c r="ALC70" s="834"/>
      <c r="ALD70" s="834"/>
      <c r="ALE70" s="834"/>
      <c r="ALF70" s="834"/>
      <c r="ALG70" s="834"/>
      <c r="ALH70" s="834"/>
      <c r="ALI70" s="834"/>
      <c r="ALJ70" s="834"/>
      <c r="ALK70" s="834"/>
      <c r="ALL70" s="834"/>
      <c r="ALM70" s="834"/>
      <c r="ALN70" s="834"/>
      <c r="ALO70" s="834"/>
      <c r="ALP70" s="834"/>
      <c r="ALQ70" s="834"/>
      <c r="ALR70" s="834"/>
      <c r="ALS70" s="834"/>
      <c r="ALT70" s="834"/>
      <c r="ALU70" s="834"/>
      <c r="ALV70" s="834"/>
      <c r="ALW70" s="834"/>
      <c r="ALX70" s="834"/>
      <c r="ALY70" s="834"/>
      <c r="ALZ70" s="834"/>
      <c r="AMA70" s="834"/>
      <c r="AMB70" s="834"/>
      <c r="AMC70" s="834"/>
      <c r="AMD70" s="834"/>
      <c r="AME70" s="834"/>
      <c r="AMF70" s="834"/>
      <c r="AMG70" s="834"/>
      <c r="AMH70" s="834"/>
      <c r="AMI70" s="834"/>
      <c r="AMJ70" s="834"/>
      <c r="AMK70" s="834"/>
      <c r="AML70" s="834"/>
    </row>
    <row r="71" spans="1:1026" ht="51.75" customHeight="1" outlineLevel="1">
      <c r="A71" s="844"/>
      <c r="B71" s="891" t="s">
        <v>158</v>
      </c>
      <c r="C71" s="879" t="s">
        <v>159</v>
      </c>
      <c r="D71" s="443" t="s">
        <v>160</v>
      </c>
      <c r="E71" s="444" t="s">
        <v>27</v>
      </c>
      <c r="F71" s="881">
        <f ca="1">Alvenaria!F49</f>
        <v>1837.31</v>
      </c>
      <c r="G71" s="893">
        <f>K71</f>
        <v>75</v>
      </c>
      <c r="H71" s="883">
        <f ca="1">F71*G71</f>
        <v>137798.25</v>
      </c>
      <c r="I71" s="844"/>
      <c r="J71" s="841">
        <v>59.24</v>
      </c>
      <c r="K71" s="842">
        <f t="shared" si="2"/>
        <v>75</v>
      </c>
    </row>
    <row r="72" spans="1:1026" ht="24.95" customHeight="1" outlineLevel="1">
      <c r="A72" s="844"/>
      <c r="B72" s="875">
        <v>6</v>
      </c>
      <c r="C72" s="875"/>
      <c r="D72" s="447" t="s">
        <v>161</v>
      </c>
      <c r="E72" s="422"/>
      <c r="F72" s="876"/>
      <c r="G72" s="877"/>
      <c r="H72" s="878"/>
      <c r="I72" s="844"/>
    </row>
    <row r="73" spans="1:1026" s="826" customFormat="1" ht="24.95" customHeight="1" outlineLevel="1">
      <c r="A73" s="900"/>
      <c r="B73" s="901" t="s">
        <v>162</v>
      </c>
      <c r="C73" s="901"/>
      <c r="D73" s="902" t="s">
        <v>163</v>
      </c>
      <c r="E73" s="418"/>
      <c r="F73" s="903"/>
      <c r="G73" s="908"/>
      <c r="H73" s="905"/>
      <c r="I73" s="900"/>
      <c r="J73" s="917"/>
      <c r="K73" s="918"/>
      <c r="L73" s="834"/>
      <c r="M73" s="834"/>
      <c r="N73" s="834"/>
      <c r="O73" s="834"/>
      <c r="P73" s="834"/>
      <c r="Q73" s="834"/>
      <c r="R73" s="834"/>
      <c r="S73" s="834"/>
      <c r="T73" s="834"/>
      <c r="U73" s="834"/>
      <c r="V73" s="834"/>
      <c r="W73" s="834"/>
      <c r="X73" s="834"/>
      <c r="Y73" s="834"/>
      <c r="Z73" s="834"/>
      <c r="AA73" s="834"/>
      <c r="AB73" s="834"/>
      <c r="AC73" s="834"/>
      <c r="AD73" s="834"/>
      <c r="AE73" s="834"/>
      <c r="AF73" s="834"/>
      <c r="AG73" s="834"/>
      <c r="AH73" s="834"/>
      <c r="AI73" s="834"/>
      <c r="AJ73" s="834"/>
      <c r="AK73" s="834"/>
      <c r="AL73" s="834"/>
      <c r="AM73" s="834"/>
      <c r="AN73" s="834"/>
      <c r="AO73" s="834"/>
      <c r="AP73" s="834"/>
      <c r="AQ73" s="834"/>
      <c r="AR73" s="834"/>
      <c r="AS73" s="834"/>
      <c r="AT73" s="834"/>
      <c r="AU73" s="834"/>
      <c r="AV73" s="834"/>
      <c r="AW73" s="834"/>
      <c r="AX73" s="834"/>
      <c r="AY73" s="834"/>
      <c r="AZ73" s="834"/>
      <c r="BA73" s="834"/>
      <c r="BB73" s="834"/>
      <c r="BC73" s="834"/>
      <c r="BD73" s="834"/>
      <c r="BE73" s="834"/>
      <c r="BF73" s="834"/>
      <c r="BG73" s="834"/>
      <c r="BH73" s="834"/>
      <c r="BI73" s="834"/>
      <c r="BJ73" s="834"/>
      <c r="BK73" s="834"/>
      <c r="BL73" s="834"/>
      <c r="BM73" s="834"/>
      <c r="BN73" s="834"/>
      <c r="BO73" s="834"/>
      <c r="BP73" s="834"/>
      <c r="BQ73" s="834"/>
      <c r="BR73" s="834"/>
      <c r="BS73" s="834"/>
      <c r="BT73" s="834"/>
      <c r="BU73" s="834"/>
      <c r="BV73" s="834"/>
      <c r="BW73" s="834"/>
      <c r="BX73" s="834"/>
      <c r="BY73" s="834"/>
      <c r="BZ73" s="834"/>
      <c r="CA73" s="834"/>
      <c r="CB73" s="834"/>
      <c r="CC73" s="834"/>
      <c r="CD73" s="834"/>
      <c r="CE73" s="834"/>
      <c r="CF73" s="834"/>
      <c r="CG73" s="834"/>
      <c r="CH73" s="834"/>
      <c r="CI73" s="834"/>
      <c r="CJ73" s="834"/>
      <c r="CK73" s="834"/>
      <c r="CL73" s="834"/>
      <c r="CM73" s="834"/>
      <c r="CN73" s="834"/>
      <c r="CO73" s="834"/>
      <c r="CP73" s="834"/>
      <c r="CQ73" s="834"/>
      <c r="CR73" s="834"/>
      <c r="CS73" s="834"/>
      <c r="CT73" s="834"/>
      <c r="CU73" s="834"/>
      <c r="CV73" s="834"/>
      <c r="CW73" s="834"/>
      <c r="CX73" s="834"/>
      <c r="CY73" s="834"/>
      <c r="CZ73" s="834"/>
      <c r="DA73" s="834"/>
      <c r="DB73" s="834"/>
      <c r="DC73" s="834"/>
      <c r="DD73" s="834"/>
      <c r="DE73" s="834"/>
      <c r="DF73" s="834"/>
      <c r="DG73" s="834"/>
      <c r="DH73" s="834"/>
      <c r="DI73" s="834"/>
      <c r="DJ73" s="834"/>
      <c r="DK73" s="834"/>
      <c r="DL73" s="834"/>
      <c r="DM73" s="834"/>
      <c r="DN73" s="834"/>
      <c r="DO73" s="834"/>
      <c r="DP73" s="834"/>
      <c r="DQ73" s="834"/>
      <c r="DR73" s="834"/>
      <c r="DS73" s="834"/>
      <c r="DT73" s="834"/>
      <c r="DU73" s="834"/>
      <c r="DV73" s="834"/>
      <c r="DW73" s="834"/>
      <c r="DX73" s="834"/>
      <c r="DY73" s="834"/>
      <c r="DZ73" s="834"/>
      <c r="EA73" s="834"/>
      <c r="EB73" s="834"/>
      <c r="EC73" s="834"/>
      <c r="ED73" s="834"/>
      <c r="EE73" s="834"/>
      <c r="EF73" s="834"/>
      <c r="EG73" s="834"/>
      <c r="EH73" s="834"/>
      <c r="EI73" s="834"/>
      <c r="EJ73" s="834"/>
      <c r="EK73" s="834"/>
      <c r="EL73" s="834"/>
      <c r="EM73" s="834"/>
      <c r="EN73" s="834"/>
      <c r="EO73" s="834"/>
      <c r="EP73" s="834"/>
      <c r="EQ73" s="834"/>
      <c r="ER73" s="834"/>
      <c r="ES73" s="834"/>
      <c r="ET73" s="834"/>
      <c r="EU73" s="834"/>
      <c r="EV73" s="834"/>
      <c r="EW73" s="834"/>
      <c r="EX73" s="834"/>
      <c r="EY73" s="834"/>
      <c r="EZ73" s="834"/>
      <c r="FA73" s="834"/>
      <c r="FB73" s="834"/>
      <c r="FC73" s="834"/>
      <c r="FD73" s="834"/>
      <c r="FE73" s="834"/>
      <c r="FF73" s="834"/>
      <c r="FG73" s="834"/>
      <c r="FH73" s="834"/>
      <c r="FI73" s="834"/>
      <c r="FJ73" s="834"/>
      <c r="FK73" s="834"/>
      <c r="FL73" s="834"/>
      <c r="FM73" s="834"/>
      <c r="FN73" s="834"/>
      <c r="FO73" s="834"/>
      <c r="FP73" s="834"/>
      <c r="FQ73" s="834"/>
      <c r="FR73" s="834"/>
      <c r="FS73" s="834"/>
      <c r="FT73" s="834"/>
      <c r="FU73" s="834"/>
      <c r="FV73" s="834"/>
      <c r="FW73" s="834"/>
      <c r="FX73" s="834"/>
      <c r="FY73" s="834"/>
      <c r="FZ73" s="834"/>
      <c r="GA73" s="834"/>
      <c r="GB73" s="834"/>
      <c r="GC73" s="834"/>
      <c r="GD73" s="834"/>
      <c r="GE73" s="834"/>
      <c r="GF73" s="834"/>
      <c r="GG73" s="834"/>
      <c r="GH73" s="834"/>
      <c r="GI73" s="834"/>
      <c r="GJ73" s="834"/>
      <c r="GK73" s="834"/>
      <c r="GL73" s="834"/>
      <c r="GM73" s="834"/>
      <c r="GN73" s="834"/>
      <c r="GO73" s="834"/>
      <c r="GP73" s="834"/>
      <c r="GQ73" s="834"/>
      <c r="GR73" s="834"/>
      <c r="GS73" s="834"/>
      <c r="GT73" s="834"/>
      <c r="GU73" s="834"/>
      <c r="GV73" s="834"/>
      <c r="GW73" s="834"/>
      <c r="GX73" s="834"/>
      <c r="GY73" s="834"/>
      <c r="GZ73" s="834"/>
      <c r="HA73" s="834"/>
      <c r="HB73" s="834"/>
      <c r="HC73" s="834"/>
      <c r="HD73" s="834"/>
      <c r="HE73" s="834"/>
      <c r="HF73" s="834"/>
      <c r="HG73" s="834"/>
      <c r="HH73" s="834"/>
      <c r="HI73" s="834"/>
      <c r="HJ73" s="834"/>
      <c r="HK73" s="834"/>
      <c r="HL73" s="834"/>
      <c r="HM73" s="834"/>
      <c r="HN73" s="834"/>
      <c r="HO73" s="834"/>
      <c r="HP73" s="834"/>
      <c r="HQ73" s="834"/>
      <c r="HR73" s="834"/>
      <c r="HS73" s="834"/>
      <c r="HT73" s="834"/>
      <c r="HU73" s="834"/>
      <c r="HV73" s="834"/>
      <c r="HW73" s="834"/>
      <c r="HX73" s="834"/>
      <c r="HY73" s="834"/>
      <c r="HZ73" s="834"/>
      <c r="IA73" s="834"/>
      <c r="IB73" s="834"/>
      <c r="IC73" s="834"/>
      <c r="ID73" s="834"/>
      <c r="IE73" s="834"/>
      <c r="IF73" s="834"/>
      <c r="IG73" s="834"/>
      <c r="IH73" s="834"/>
      <c r="II73" s="834"/>
      <c r="IJ73" s="834"/>
      <c r="IK73" s="834"/>
      <c r="IL73" s="834"/>
      <c r="IM73" s="834"/>
      <c r="IN73" s="834"/>
      <c r="IO73" s="834"/>
      <c r="IP73" s="834"/>
      <c r="IQ73" s="834"/>
      <c r="IR73" s="834"/>
      <c r="IS73" s="834"/>
      <c r="IT73" s="834"/>
      <c r="IU73" s="834"/>
      <c r="IV73" s="834"/>
      <c r="IW73" s="834"/>
      <c r="IX73" s="834"/>
      <c r="IY73" s="834"/>
      <c r="IZ73" s="834"/>
      <c r="JA73" s="834"/>
      <c r="JB73" s="834"/>
      <c r="JC73" s="834"/>
      <c r="JD73" s="834"/>
      <c r="JE73" s="834"/>
      <c r="JF73" s="834"/>
      <c r="JG73" s="834"/>
      <c r="JH73" s="834"/>
      <c r="JI73" s="834"/>
      <c r="JJ73" s="834"/>
      <c r="JK73" s="834"/>
      <c r="JL73" s="834"/>
      <c r="JM73" s="834"/>
      <c r="JN73" s="834"/>
      <c r="JO73" s="834"/>
      <c r="JP73" s="834"/>
      <c r="JQ73" s="834"/>
      <c r="JR73" s="834"/>
      <c r="JS73" s="834"/>
      <c r="JT73" s="834"/>
      <c r="JU73" s="834"/>
      <c r="JV73" s="834"/>
      <c r="JW73" s="834"/>
      <c r="JX73" s="834"/>
      <c r="JY73" s="834"/>
      <c r="JZ73" s="834"/>
      <c r="KA73" s="834"/>
      <c r="KB73" s="834"/>
      <c r="KC73" s="834"/>
      <c r="KD73" s="834"/>
      <c r="KE73" s="834"/>
      <c r="KF73" s="834"/>
      <c r="KG73" s="834"/>
      <c r="KH73" s="834"/>
      <c r="KI73" s="834"/>
      <c r="KJ73" s="834"/>
      <c r="KK73" s="834"/>
      <c r="KL73" s="834"/>
      <c r="KM73" s="834"/>
      <c r="KN73" s="834"/>
      <c r="KO73" s="834"/>
      <c r="KP73" s="834"/>
      <c r="KQ73" s="834"/>
      <c r="KR73" s="834"/>
      <c r="KS73" s="834"/>
      <c r="KT73" s="834"/>
      <c r="KU73" s="834"/>
      <c r="KV73" s="834"/>
      <c r="KW73" s="834"/>
      <c r="KX73" s="834"/>
      <c r="KY73" s="834"/>
      <c r="KZ73" s="834"/>
      <c r="LA73" s="834"/>
      <c r="LB73" s="834"/>
      <c r="LC73" s="834"/>
      <c r="LD73" s="834"/>
      <c r="LE73" s="834"/>
      <c r="LF73" s="834"/>
      <c r="LG73" s="834"/>
      <c r="LH73" s="834"/>
      <c r="LI73" s="834"/>
      <c r="LJ73" s="834"/>
      <c r="LK73" s="834"/>
      <c r="LL73" s="834"/>
      <c r="LM73" s="834"/>
      <c r="LN73" s="834"/>
      <c r="LO73" s="834"/>
      <c r="LP73" s="834"/>
      <c r="LQ73" s="834"/>
      <c r="LR73" s="834"/>
      <c r="LS73" s="834"/>
      <c r="LT73" s="834"/>
      <c r="LU73" s="834"/>
      <c r="LV73" s="834"/>
      <c r="LW73" s="834"/>
      <c r="LX73" s="834"/>
      <c r="LY73" s="834"/>
      <c r="LZ73" s="834"/>
      <c r="MA73" s="834"/>
      <c r="MB73" s="834"/>
      <c r="MC73" s="834"/>
      <c r="MD73" s="834"/>
      <c r="ME73" s="834"/>
      <c r="MF73" s="834"/>
      <c r="MG73" s="834"/>
      <c r="MH73" s="834"/>
      <c r="MI73" s="834"/>
      <c r="MJ73" s="834"/>
      <c r="MK73" s="834"/>
      <c r="ML73" s="834"/>
      <c r="MM73" s="834"/>
      <c r="MN73" s="834"/>
      <c r="MO73" s="834"/>
      <c r="MP73" s="834"/>
      <c r="MQ73" s="834"/>
      <c r="MR73" s="834"/>
      <c r="MS73" s="834"/>
      <c r="MT73" s="834"/>
      <c r="MU73" s="834"/>
      <c r="MV73" s="834"/>
      <c r="MW73" s="834"/>
      <c r="MX73" s="834"/>
      <c r="MY73" s="834"/>
      <c r="MZ73" s="834"/>
      <c r="NA73" s="834"/>
      <c r="NB73" s="834"/>
      <c r="NC73" s="834"/>
      <c r="ND73" s="834"/>
      <c r="NE73" s="834"/>
      <c r="NF73" s="834"/>
      <c r="NG73" s="834"/>
      <c r="NH73" s="834"/>
      <c r="NI73" s="834"/>
      <c r="NJ73" s="834"/>
      <c r="NK73" s="834"/>
      <c r="NL73" s="834"/>
      <c r="NM73" s="834"/>
      <c r="NN73" s="834"/>
      <c r="NO73" s="834"/>
      <c r="NP73" s="834"/>
      <c r="NQ73" s="834"/>
      <c r="NR73" s="834"/>
      <c r="NS73" s="834"/>
      <c r="NT73" s="834"/>
      <c r="NU73" s="834"/>
      <c r="NV73" s="834"/>
      <c r="NW73" s="834"/>
      <c r="NX73" s="834"/>
      <c r="NY73" s="834"/>
      <c r="NZ73" s="834"/>
      <c r="OA73" s="834"/>
      <c r="OB73" s="834"/>
      <c r="OC73" s="834"/>
      <c r="OD73" s="834"/>
      <c r="OE73" s="834"/>
      <c r="OF73" s="834"/>
      <c r="OG73" s="834"/>
      <c r="OH73" s="834"/>
      <c r="OI73" s="834"/>
      <c r="OJ73" s="834"/>
      <c r="OK73" s="834"/>
      <c r="OL73" s="834"/>
      <c r="OM73" s="834"/>
      <c r="ON73" s="834"/>
      <c r="OO73" s="834"/>
      <c r="OP73" s="834"/>
      <c r="OQ73" s="834"/>
      <c r="OR73" s="834"/>
      <c r="OS73" s="834"/>
      <c r="OT73" s="834"/>
      <c r="OU73" s="834"/>
      <c r="OV73" s="834"/>
      <c r="OW73" s="834"/>
      <c r="OX73" s="834"/>
      <c r="OY73" s="834"/>
      <c r="OZ73" s="834"/>
      <c r="PA73" s="834"/>
      <c r="PB73" s="834"/>
      <c r="PC73" s="834"/>
      <c r="PD73" s="834"/>
      <c r="PE73" s="834"/>
      <c r="PF73" s="834"/>
      <c r="PG73" s="834"/>
      <c r="PH73" s="834"/>
      <c r="PI73" s="834"/>
      <c r="PJ73" s="834"/>
      <c r="PK73" s="834"/>
      <c r="PL73" s="834"/>
      <c r="PM73" s="834"/>
      <c r="PN73" s="834"/>
      <c r="PO73" s="834"/>
      <c r="PP73" s="834"/>
      <c r="PQ73" s="834"/>
      <c r="PR73" s="834"/>
      <c r="PS73" s="834"/>
      <c r="PT73" s="834"/>
      <c r="PU73" s="834"/>
      <c r="PV73" s="834"/>
      <c r="PW73" s="834"/>
      <c r="PX73" s="834"/>
      <c r="PY73" s="834"/>
      <c r="PZ73" s="834"/>
      <c r="QA73" s="834"/>
      <c r="QB73" s="834"/>
      <c r="QC73" s="834"/>
      <c r="QD73" s="834"/>
      <c r="QE73" s="834"/>
      <c r="QF73" s="834"/>
      <c r="QG73" s="834"/>
      <c r="QH73" s="834"/>
      <c r="QI73" s="834"/>
      <c r="QJ73" s="834"/>
      <c r="QK73" s="834"/>
      <c r="QL73" s="834"/>
      <c r="QM73" s="834"/>
      <c r="QN73" s="834"/>
      <c r="QO73" s="834"/>
      <c r="QP73" s="834"/>
      <c r="QQ73" s="834"/>
      <c r="QR73" s="834"/>
      <c r="QS73" s="834"/>
      <c r="QT73" s="834"/>
      <c r="QU73" s="834"/>
      <c r="QV73" s="834"/>
      <c r="QW73" s="834"/>
      <c r="QX73" s="834"/>
      <c r="QY73" s="834"/>
      <c r="QZ73" s="834"/>
      <c r="RA73" s="834"/>
      <c r="RB73" s="834"/>
      <c r="RC73" s="834"/>
      <c r="RD73" s="834"/>
      <c r="RE73" s="834"/>
      <c r="RF73" s="834"/>
      <c r="RG73" s="834"/>
      <c r="RH73" s="834"/>
      <c r="RI73" s="834"/>
      <c r="RJ73" s="834"/>
      <c r="RK73" s="834"/>
      <c r="RL73" s="834"/>
      <c r="RM73" s="834"/>
      <c r="RN73" s="834"/>
      <c r="RO73" s="834"/>
      <c r="RP73" s="834"/>
      <c r="RQ73" s="834"/>
      <c r="RR73" s="834"/>
      <c r="RS73" s="834"/>
      <c r="RT73" s="834"/>
      <c r="RU73" s="834"/>
      <c r="RV73" s="834"/>
      <c r="RW73" s="834"/>
      <c r="RX73" s="834"/>
      <c r="RY73" s="834"/>
      <c r="RZ73" s="834"/>
      <c r="SA73" s="834"/>
      <c r="SB73" s="834"/>
      <c r="SC73" s="834"/>
      <c r="SD73" s="834"/>
      <c r="SE73" s="834"/>
      <c r="SF73" s="834"/>
      <c r="SG73" s="834"/>
      <c r="SH73" s="834"/>
      <c r="SI73" s="834"/>
      <c r="SJ73" s="834"/>
      <c r="SK73" s="834"/>
      <c r="SL73" s="834"/>
      <c r="SM73" s="834"/>
      <c r="SN73" s="834"/>
      <c r="SO73" s="834"/>
      <c r="SP73" s="834"/>
      <c r="SQ73" s="834"/>
      <c r="SR73" s="834"/>
      <c r="SS73" s="834"/>
      <c r="ST73" s="834"/>
      <c r="SU73" s="834"/>
      <c r="SV73" s="834"/>
      <c r="SW73" s="834"/>
      <c r="SX73" s="834"/>
      <c r="SY73" s="834"/>
      <c r="SZ73" s="834"/>
      <c r="TA73" s="834"/>
      <c r="TB73" s="834"/>
      <c r="TC73" s="834"/>
      <c r="TD73" s="834"/>
      <c r="TE73" s="834"/>
      <c r="TF73" s="834"/>
      <c r="TG73" s="834"/>
      <c r="TH73" s="834"/>
      <c r="TI73" s="834"/>
      <c r="TJ73" s="834"/>
      <c r="TK73" s="834"/>
      <c r="TL73" s="834"/>
      <c r="TM73" s="834"/>
      <c r="TN73" s="834"/>
      <c r="TO73" s="834"/>
      <c r="TP73" s="834"/>
      <c r="TQ73" s="834"/>
      <c r="TR73" s="834"/>
      <c r="TS73" s="834"/>
      <c r="TT73" s="834"/>
      <c r="TU73" s="834"/>
      <c r="TV73" s="834"/>
      <c r="TW73" s="834"/>
      <c r="TX73" s="834"/>
      <c r="TY73" s="834"/>
      <c r="TZ73" s="834"/>
      <c r="UA73" s="834"/>
      <c r="UB73" s="834"/>
      <c r="UC73" s="834"/>
      <c r="UD73" s="834"/>
      <c r="UE73" s="834"/>
      <c r="UF73" s="834"/>
      <c r="UG73" s="834"/>
      <c r="UH73" s="834"/>
      <c r="UI73" s="834"/>
      <c r="UJ73" s="834"/>
      <c r="UK73" s="834"/>
      <c r="UL73" s="834"/>
      <c r="UM73" s="834"/>
      <c r="UN73" s="834"/>
      <c r="UO73" s="834"/>
      <c r="UP73" s="834"/>
      <c r="UQ73" s="834"/>
      <c r="UR73" s="834"/>
      <c r="US73" s="834"/>
      <c r="UT73" s="834"/>
      <c r="UU73" s="834"/>
      <c r="UV73" s="834"/>
      <c r="UW73" s="834"/>
      <c r="UX73" s="834"/>
      <c r="UY73" s="834"/>
      <c r="UZ73" s="834"/>
      <c r="VA73" s="834"/>
      <c r="VB73" s="834"/>
      <c r="VC73" s="834"/>
      <c r="VD73" s="834"/>
      <c r="VE73" s="834"/>
      <c r="VF73" s="834"/>
      <c r="VG73" s="834"/>
      <c r="VH73" s="834"/>
      <c r="VI73" s="834"/>
      <c r="VJ73" s="834"/>
      <c r="VK73" s="834"/>
      <c r="VL73" s="834"/>
      <c r="VM73" s="834"/>
      <c r="VN73" s="834"/>
      <c r="VO73" s="834"/>
      <c r="VP73" s="834"/>
      <c r="VQ73" s="834"/>
      <c r="VR73" s="834"/>
      <c r="VS73" s="834"/>
      <c r="VT73" s="834"/>
      <c r="VU73" s="834"/>
      <c r="VV73" s="834"/>
      <c r="VW73" s="834"/>
      <c r="VX73" s="834"/>
      <c r="VY73" s="834"/>
      <c r="VZ73" s="834"/>
      <c r="WA73" s="834"/>
      <c r="WB73" s="834"/>
      <c r="WC73" s="834"/>
      <c r="WD73" s="834"/>
      <c r="WE73" s="834"/>
      <c r="WF73" s="834"/>
      <c r="WG73" s="834"/>
      <c r="WH73" s="834"/>
      <c r="WI73" s="834"/>
      <c r="WJ73" s="834"/>
      <c r="WK73" s="834"/>
      <c r="WL73" s="834"/>
      <c r="WM73" s="834"/>
      <c r="WN73" s="834"/>
      <c r="WO73" s="834"/>
      <c r="WP73" s="834"/>
      <c r="WQ73" s="834"/>
      <c r="WR73" s="834"/>
      <c r="WS73" s="834"/>
      <c r="WT73" s="834"/>
      <c r="WU73" s="834"/>
      <c r="WV73" s="834"/>
      <c r="WW73" s="834"/>
      <c r="WX73" s="834"/>
      <c r="WY73" s="834"/>
      <c r="WZ73" s="834"/>
      <c r="XA73" s="834"/>
      <c r="XB73" s="834"/>
      <c r="XC73" s="834"/>
      <c r="XD73" s="834"/>
      <c r="XE73" s="834"/>
      <c r="XF73" s="834"/>
      <c r="XG73" s="834"/>
      <c r="XH73" s="834"/>
      <c r="XI73" s="834"/>
      <c r="XJ73" s="834"/>
      <c r="XK73" s="834"/>
      <c r="XL73" s="834"/>
      <c r="XM73" s="834"/>
      <c r="XN73" s="834"/>
      <c r="XO73" s="834"/>
      <c r="XP73" s="834"/>
      <c r="XQ73" s="834"/>
      <c r="XR73" s="834"/>
      <c r="XS73" s="834"/>
      <c r="XT73" s="834"/>
      <c r="XU73" s="834"/>
      <c r="XV73" s="834"/>
      <c r="XW73" s="834"/>
      <c r="XX73" s="834"/>
      <c r="XY73" s="834"/>
      <c r="XZ73" s="834"/>
      <c r="YA73" s="834"/>
      <c r="YB73" s="834"/>
      <c r="YC73" s="834"/>
      <c r="YD73" s="834"/>
      <c r="YE73" s="834"/>
      <c r="YF73" s="834"/>
      <c r="YG73" s="834"/>
      <c r="YH73" s="834"/>
      <c r="YI73" s="834"/>
      <c r="YJ73" s="834"/>
      <c r="YK73" s="834"/>
      <c r="YL73" s="834"/>
      <c r="YM73" s="834"/>
      <c r="YN73" s="834"/>
      <c r="YO73" s="834"/>
      <c r="YP73" s="834"/>
      <c r="YQ73" s="834"/>
      <c r="YR73" s="834"/>
      <c r="YS73" s="834"/>
      <c r="YT73" s="834"/>
      <c r="YU73" s="834"/>
      <c r="YV73" s="834"/>
      <c r="YW73" s="834"/>
      <c r="YX73" s="834"/>
      <c r="YY73" s="834"/>
      <c r="YZ73" s="834"/>
      <c r="ZA73" s="834"/>
      <c r="ZB73" s="834"/>
      <c r="ZC73" s="834"/>
      <c r="ZD73" s="834"/>
      <c r="ZE73" s="834"/>
      <c r="ZF73" s="834"/>
      <c r="ZG73" s="834"/>
      <c r="ZH73" s="834"/>
      <c r="ZI73" s="834"/>
      <c r="ZJ73" s="834"/>
      <c r="ZK73" s="834"/>
      <c r="ZL73" s="834"/>
      <c r="ZM73" s="834"/>
      <c r="ZN73" s="834"/>
      <c r="ZO73" s="834"/>
      <c r="ZP73" s="834"/>
      <c r="ZQ73" s="834"/>
      <c r="ZR73" s="834"/>
      <c r="ZS73" s="834"/>
      <c r="ZT73" s="834"/>
      <c r="ZU73" s="834"/>
      <c r="ZV73" s="834"/>
      <c r="ZW73" s="834"/>
      <c r="ZX73" s="834"/>
      <c r="ZY73" s="834"/>
      <c r="ZZ73" s="834"/>
      <c r="AAA73" s="834"/>
      <c r="AAB73" s="834"/>
      <c r="AAC73" s="834"/>
      <c r="AAD73" s="834"/>
      <c r="AAE73" s="834"/>
      <c r="AAF73" s="834"/>
      <c r="AAG73" s="834"/>
      <c r="AAH73" s="834"/>
      <c r="AAI73" s="834"/>
      <c r="AAJ73" s="834"/>
      <c r="AAK73" s="834"/>
      <c r="AAL73" s="834"/>
      <c r="AAM73" s="834"/>
      <c r="AAN73" s="834"/>
      <c r="AAO73" s="834"/>
      <c r="AAP73" s="834"/>
      <c r="AAQ73" s="834"/>
      <c r="AAR73" s="834"/>
      <c r="AAS73" s="834"/>
      <c r="AAT73" s="834"/>
      <c r="AAU73" s="834"/>
      <c r="AAV73" s="834"/>
      <c r="AAW73" s="834"/>
      <c r="AAX73" s="834"/>
      <c r="AAY73" s="834"/>
      <c r="AAZ73" s="834"/>
      <c r="ABA73" s="834"/>
      <c r="ABB73" s="834"/>
      <c r="ABC73" s="834"/>
      <c r="ABD73" s="834"/>
      <c r="ABE73" s="834"/>
      <c r="ABF73" s="834"/>
      <c r="ABG73" s="834"/>
      <c r="ABH73" s="834"/>
      <c r="ABI73" s="834"/>
      <c r="ABJ73" s="834"/>
      <c r="ABK73" s="834"/>
      <c r="ABL73" s="834"/>
      <c r="ABM73" s="834"/>
      <c r="ABN73" s="834"/>
      <c r="ABO73" s="834"/>
      <c r="ABP73" s="834"/>
      <c r="ABQ73" s="834"/>
      <c r="ABR73" s="834"/>
      <c r="ABS73" s="834"/>
      <c r="ABT73" s="834"/>
      <c r="ABU73" s="834"/>
      <c r="ABV73" s="834"/>
      <c r="ABW73" s="834"/>
      <c r="ABX73" s="834"/>
      <c r="ABY73" s="834"/>
      <c r="ABZ73" s="834"/>
      <c r="ACA73" s="834"/>
      <c r="ACB73" s="834"/>
      <c r="ACC73" s="834"/>
      <c r="ACD73" s="834"/>
      <c r="ACE73" s="834"/>
      <c r="ACF73" s="834"/>
      <c r="ACG73" s="834"/>
      <c r="ACH73" s="834"/>
      <c r="ACI73" s="834"/>
      <c r="ACJ73" s="834"/>
      <c r="ACK73" s="834"/>
      <c r="ACL73" s="834"/>
      <c r="ACM73" s="834"/>
      <c r="ACN73" s="834"/>
      <c r="ACO73" s="834"/>
      <c r="ACP73" s="834"/>
      <c r="ACQ73" s="834"/>
      <c r="ACR73" s="834"/>
      <c r="ACS73" s="834"/>
      <c r="ACT73" s="834"/>
      <c r="ACU73" s="834"/>
      <c r="ACV73" s="834"/>
      <c r="ACW73" s="834"/>
      <c r="ACX73" s="834"/>
      <c r="ACY73" s="834"/>
      <c r="ACZ73" s="834"/>
      <c r="ADA73" s="834"/>
      <c r="ADB73" s="834"/>
      <c r="ADC73" s="834"/>
      <c r="ADD73" s="834"/>
      <c r="ADE73" s="834"/>
      <c r="ADF73" s="834"/>
      <c r="ADG73" s="834"/>
      <c r="ADH73" s="834"/>
      <c r="ADI73" s="834"/>
      <c r="ADJ73" s="834"/>
      <c r="ADK73" s="834"/>
      <c r="ADL73" s="834"/>
      <c r="ADM73" s="834"/>
      <c r="ADN73" s="834"/>
      <c r="ADO73" s="834"/>
      <c r="ADP73" s="834"/>
      <c r="ADQ73" s="834"/>
      <c r="ADR73" s="834"/>
      <c r="ADS73" s="834"/>
      <c r="ADT73" s="834"/>
      <c r="ADU73" s="834"/>
      <c r="ADV73" s="834"/>
      <c r="ADW73" s="834"/>
      <c r="ADX73" s="834"/>
      <c r="ADY73" s="834"/>
      <c r="ADZ73" s="834"/>
      <c r="AEA73" s="834"/>
      <c r="AEB73" s="834"/>
      <c r="AEC73" s="834"/>
      <c r="AED73" s="834"/>
      <c r="AEE73" s="834"/>
      <c r="AEF73" s="834"/>
      <c r="AEG73" s="834"/>
      <c r="AEH73" s="834"/>
      <c r="AEI73" s="834"/>
      <c r="AEJ73" s="834"/>
      <c r="AEK73" s="834"/>
      <c r="AEL73" s="834"/>
      <c r="AEM73" s="834"/>
      <c r="AEN73" s="834"/>
      <c r="AEO73" s="834"/>
      <c r="AEP73" s="834"/>
      <c r="AEQ73" s="834"/>
      <c r="AER73" s="834"/>
      <c r="AES73" s="834"/>
      <c r="AET73" s="834"/>
      <c r="AEU73" s="834"/>
      <c r="AEV73" s="834"/>
      <c r="AEW73" s="834"/>
      <c r="AEX73" s="834"/>
      <c r="AEY73" s="834"/>
      <c r="AEZ73" s="834"/>
      <c r="AFA73" s="834"/>
      <c r="AFB73" s="834"/>
      <c r="AFC73" s="834"/>
      <c r="AFD73" s="834"/>
      <c r="AFE73" s="834"/>
      <c r="AFF73" s="834"/>
      <c r="AFG73" s="834"/>
      <c r="AFH73" s="834"/>
      <c r="AFI73" s="834"/>
      <c r="AFJ73" s="834"/>
      <c r="AFK73" s="834"/>
      <c r="AFL73" s="834"/>
      <c r="AFM73" s="834"/>
      <c r="AFN73" s="834"/>
      <c r="AFO73" s="834"/>
      <c r="AFP73" s="834"/>
      <c r="AFQ73" s="834"/>
      <c r="AFR73" s="834"/>
      <c r="AFS73" s="834"/>
      <c r="AFT73" s="834"/>
      <c r="AFU73" s="834"/>
      <c r="AFV73" s="834"/>
      <c r="AFW73" s="834"/>
      <c r="AFX73" s="834"/>
      <c r="AFY73" s="834"/>
      <c r="AFZ73" s="834"/>
      <c r="AGA73" s="834"/>
      <c r="AGB73" s="834"/>
      <c r="AGC73" s="834"/>
      <c r="AGD73" s="834"/>
      <c r="AGE73" s="834"/>
      <c r="AGF73" s="834"/>
      <c r="AGG73" s="834"/>
      <c r="AGH73" s="834"/>
      <c r="AGI73" s="834"/>
      <c r="AGJ73" s="834"/>
      <c r="AGK73" s="834"/>
      <c r="AGL73" s="834"/>
      <c r="AGM73" s="834"/>
      <c r="AGN73" s="834"/>
      <c r="AGO73" s="834"/>
      <c r="AGP73" s="834"/>
      <c r="AGQ73" s="834"/>
      <c r="AGR73" s="834"/>
      <c r="AGS73" s="834"/>
      <c r="AGT73" s="834"/>
      <c r="AGU73" s="834"/>
      <c r="AGV73" s="834"/>
      <c r="AGW73" s="834"/>
      <c r="AGX73" s="834"/>
      <c r="AGY73" s="834"/>
      <c r="AGZ73" s="834"/>
      <c r="AHA73" s="834"/>
      <c r="AHB73" s="834"/>
      <c r="AHC73" s="834"/>
      <c r="AHD73" s="834"/>
      <c r="AHE73" s="834"/>
      <c r="AHF73" s="834"/>
      <c r="AHG73" s="834"/>
      <c r="AHH73" s="834"/>
      <c r="AHI73" s="834"/>
      <c r="AHJ73" s="834"/>
      <c r="AHK73" s="834"/>
      <c r="AHL73" s="834"/>
      <c r="AHM73" s="834"/>
      <c r="AHN73" s="834"/>
      <c r="AHO73" s="834"/>
      <c r="AHP73" s="834"/>
      <c r="AHQ73" s="834"/>
      <c r="AHR73" s="834"/>
      <c r="AHS73" s="834"/>
      <c r="AHT73" s="834"/>
      <c r="AHU73" s="834"/>
      <c r="AHV73" s="834"/>
      <c r="AHW73" s="834"/>
      <c r="AHX73" s="834"/>
      <c r="AHY73" s="834"/>
      <c r="AHZ73" s="834"/>
      <c r="AIA73" s="834"/>
      <c r="AIB73" s="834"/>
      <c r="AIC73" s="834"/>
      <c r="AID73" s="834"/>
      <c r="AIE73" s="834"/>
      <c r="AIF73" s="834"/>
      <c r="AIG73" s="834"/>
      <c r="AIH73" s="834"/>
      <c r="AII73" s="834"/>
      <c r="AIJ73" s="834"/>
      <c r="AIK73" s="834"/>
      <c r="AIL73" s="834"/>
      <c r="AIM73" s="834"/>
      <c r="AIN73" s="834"/>
      <c r="AIO73" s="834"/>
      <c r="AIP73" s="834"/>
      <c r="AIQ73" s="834"/>
      <c r="AIR73" s="834"/>
      <c r="AIS73" s="834"/>
      <c r="AIT73" s="834"/>
      <c r="AIU73" s="834"/>
      <c r="AIV73" s="834"/>
      <c r="AIW73" s="834"/>
      <c r="AIX73" s="834"/>
      <c r="AIY73" s="834"/>
      <c r="AIZ73" s="834"/>
      <c r="AJA73" s="834"/>
      <c r="AJB73" s="834"/>
      <c r="AJC73" s="834"/>
      <c r="AJD73" s="834"/>
      <c r="AJE73" s="834"/>
      <c r="AJF73" s="834"/>
      <c r="AJG73" s="834"/>
      <c r="AJH73" s="834"/>
      <c r="AJI73" s="834"/>
      <c r="AJJ73" s="834"/>
      <c r="AJK73" s="834"/>
      <c r="AJL73" s="834"/>
      <c r="AJM73" s="834"/>
      <c r="AJN73" s="834"/>
      <c r="AJO73" s="834"/>
      <c r="AJP73" s="834"/>
      <c r="AJQ73" s="834"/>
      <c r="AJR73" s="834"/>
      <c r="AJS73" s="834"/>
      <c r="AJT73" s="834"/>
      <c r="AJU73" s="834"/>
      <c r="AJV73" s="834"/>
      <c r="AJW73" s="834"/>
      <c r="AJX73" s="834"/>
      <c r="AJY73" s="834"/>
      <c r="AJZ73" s="834"/>
      <c r="AKA73" s="834"/>
      <c r="AKB73" s="834"/>
      <c r="AKC73" s="834"/>
      <c r="AKD73" s="834"/>
      <c r="AKE73" s="834"/>
      <c r="AKF73" s="834"/>
      <c r="AKG73" s="834"/>
      <c r="AKH73" s="834"/>
      <c r="AKI73" s="834"/>
      <c r="AKJ73" s="834"/>
      <c r="AKK73" s="834"/>
      <c r="AKL73" s="834"/>
      <c r="AKM73" s="834"/>
      <c r="AKN73" s="834"/>
      <c r="AKO73" s="834"/>
      <c r="AKP73" s="834"/>
      <c r="AKQ73" s="834"/>
      <c r="AKR73" s="834"/>
      <c r="AKS73" s="834"/>
      <c r="AKT73" s="834"/>
      <c r="AKU73" s="834"/>
      <c r="AKV73" s="834"/>
      <c r="AKW73" s="834"/>
      <c r="AKX73" s="834"/>
      <c r="AKY73" s="834"/>
      <c r="AKZ73" s="834"/>
      <c r="ALA73" s="834"/>
      <c r="ALB73" s="834"/>
      <c r="ALC73" s="834"/>
      <c r="ALD73" s="834"/>
      <c r="ALE73" s="834"/>
      <c r="ALF73" s="834"/>
      <c r="ALG73" s="834"/>
      <c r="ALH73" s="834"/>
      <c r="ALI73" s="834"/>
      <c r="ALJ73" s="834"/>
      <c r="ALK73" s="834"/>
      <c r="ALL73" s="834"/>
      <c r="ALM73" s="834"/>
      <c r="ALN73" s="834"/>
      <c r="ALO73" s="834"/>
      <c r="ALP73" s="834"/>
      <c r="ALQ73" s="834"/>
      <c r="ALR73" s="834"/>
      <c r="ALS73" s="834"/>
      <c r="ALT73" s="834"/>
      <c r="ALU73" s="834"/>
      <c r="ALV73" s="834"/>
      <c r="ALW73" s="834"/>
      <c r="ALX73" s="834"/>
      <c r="ALY73" s="834"/>
      <c r="ALZ73" s="834"/>
      <c r="AMA73" s="834"/>
      <c r="AMB73" s="834"/>
      <c r="AMC73" s="834"/>
      <c r="AMD73" s="834"/>
      <c r="AME73" s="834"/>
      <c r="AMF73" s="834"/>
      <c r="AMG73" s="834"/>
      <c r="AMH73" s="834"/>
      <c r="AMI73" s="834"/>
      <c r="AMJ73" s="834"/>
      <c r="AMK73" s="834"/>
      <c r="AML73" s="834"/>
    </row>
    <row r="74" spans="1:1026" ht="36" customHeight="1" outlineLevel="1">
      <c r="A74" s="844"/>
      <c r="B74" s="891" t="s">
        <v>164</v>
      </c>
      <c r="C74" s="879" t="s">
        <v>165</v>
      </c>
      <c r="D74" s="892" t="s">
        <v>166</v>
      </c>
      <c r="E74" s="444" t="s">
        <v>60</v>
      </c>
      <c r="F74" s="881">
        <f>Esquadrias!K29</f>
        <v>1</v>
      </c>
      <c r="G74" s="893">
        <f t="shared" ref="G74:G79" si="5">K74</f>
        <v>317.85000000000002</v>
      </c>
      <c r="H74" s="883">
        <f t="shared" ref="H74:H79" si="6">F74*G74</f>
        <v>317.85000000000002</v>
      </c>
      <c r="I74" s="844"/>
      <c r="J74" s="841">
        <v>251.05</v>
      </c>
      <c r="K74" s="842">
        <f t="shared" si="2"/>
        <v>317.85000000000002</v>
      </c>
    </row>
    <row r="75" spans="1:1026" ht="36" customHeight="1" outlineLevel="1">
      <c r="A75" s="844"/>
      <c r="B75" s="891" t="s">
        <v>167</v>
      </c>
      <c r="C75" s="879" t="s">
        <v>168</v>
      </c>
      <c r="D75" s="892" t="s">
        <v>169</v>
      </c>
      <c r="E75" s="444" t="s">
        <v>60</v>
      </c>
      <c r="F75" s="881">
        <f>Esquadrias!K34+Esquadrias!K31+Esquadrias!K33</f>
        <v>23</v>
      </c>
      <c r="G75" s="893">
        <f t="shared" si="5"/>
        <v>317.85000000000002</v>
      </c>
      <c r="H75" s="883">
        <f t="shared" si="6"/>
        <v>7310.55</v>
      </c>
      <c r="I75" s="844"/>
      <c r="J75" s="841">
        <v>251.05</v>
      </c>
      <c r="K75" s="842">
        <f t="shared" si="2"/>
        <v>317.85000000000002</v>
      </c>
    </row>
    <row r="76" spans="1:1026" ht="66" customHeight="1" outlineLevel="1">
      <c r="A76" s="844"/>
      <c r="B76" s="891" t="s">
        <v>170</v>
      </c>
      <c r="C76" s="924" t="s">
        <v>171</v>
      </c>
      <c r="D76" s="450" t="s">
        <v>172</v>
      </c>
      <c r="E76" s="444" t="s">
        <v>60</v>
      </c>
      <c r="F76" s="881">
        <f>Esquadrias!K29</f>
        <v>1</v>
      </c>
      <c r="G76" s="893">
        <f t="shared" si="5"/>
        <v>763.76</v>
      </c>
      <c r="H76" s="883">
        <f t="shared" si="6"/>
        <v>763.76</v>
      </c>
      <c r="I76" s="844"/>
      <c r="J76" s="841">
        <v>603.24</v>
      </c>
      <c r="K76" s="842">
        <f t="shared" si="2"/>
        <v>763.76</v>
      </c>
    </row>
    <row r="77" spans="1:1026" ht="66" customHeight="1" outlineLevel="1">
      <c r="A77" s="844"/>
      <c r="B77" s="891" t="s">
        <v>173</v>
      </c>
      <c r="C77" s="924" t="s">
        <v>174</v>
      </c>
      <c r="D77" s="450" t="s">
        <v>175</v>
      </c>
      <c r="E77" s="444" t="s">
        <v>60</v>
      </c>
      <c r="F77" s="881">
        <f>Esquadrias!K34</f>
        <v>15</v>
      </c>
      <c r="G77" s="893">
        <f t="shared" si="5"/>
        <v>1024.6500000000001</v>
      </c>
      <c r="H77" s="883">
        <f t="shared" si="6"/>
        <v>15369.750000000002</v>
      </c>
      <c r="I77" s="844"/>
      <c r="J77" s="841">
        <v>809.3</v>
      </c>
      <c r="K77" s="842">
        <f t="shared" si="2"/>
        <v>1024.6500000000001</v>
      </c>
    </row>
    <row r="78" spans="1:1026" ht="68.25" customHeight="1" outlineLevel="1">
      <c r="A78" s="844"/>
      <c r="B78" s="891" t="s">
        <v>176</v>
      </c>
      <c r="C78" s="891" t="s">
        <v>177</v>
      </c>
      <c r="D78" s="450" t="s">
        <v>178</v>
      </c>
      <c r="E78" s="444" t="s">
        <v>60</v>
      </c>
      <c r="F78" s="881">
        <f>SUM(Esquadrias!K31,Esquadrias!K33)</f>
        <v>8</v>
      </c>
      <c r="G78" s="893">
        <f t="shared" si="5"/>
        <v>771.42</v>
      </c>
      <c r="H78" s="883">
        <f t="shared" si="6"/>
        <v>6171.36</v>
      </c>
      <c r="I78" s="844"/>
      <c r="J78" s="841">
        <v>609.29</v>
      </c>
      <c r="K78" s="842">
        <f t="shared" si="2"/>
        <v>771.42</v>
      </c>
    </row>
    <row r="79" spans="1:1026" ht="36.75" customHeight="1" outlineLevel="1">
      <c r="A79" s="844"/>
      <c r="B79" s="891" t="s">
        <v>179</v>
      </c>
      <c r="C79" s="924" t="s">
        <v>180</v>
      </c>
      <c r="D79" s="450" t="s">
        <v>181</v>
      </c>
      <c r="E79" s="444" t="s">
        <v>27</v>
      </c>
      <c r="F79" s="881">
        <f>Esquadrias!J62</f>
        <v>91.94</v>
      </c>
      <c r="G79" s="893">
        <f t="shared" si="5"/>
        <v>85.58</v>
      </c>
      <c r="H79" s="883">
        <f t="shared" si="6"/>
        <v>7868.2251999999999</v>
      </c>
      <c r="I79" s="844"/>
      <c r="J79" s="841">
        <v>67.59</v>
      </c>
      <c r="K79" s="842">
        <f t="shared" si="2"/>
        <v>85.58</v>
      </c>
    </row>
    <row r="80" spans="1:1026" s="826" customFormat="1" ht="24.95" customHeight="1" outlineLevel="1">
      <c r="A80" s="900"/>
      <c r="B80" s="901">
        <v>7</v>
      </c>
      <c r="C80" s="907"/>
      <c r="D80" s="922" t="s">
        <v>182</v>
      </c>
      <c r="E80" s="418"/>
      <c r="F80" s="903"/>
      <c r="G80" s="908"/>
      <c r="H80" s="905"/>
      <c r="I80" s="900"/>
      <c r="J80" s="917"/>
      <c r="K80" s="918"/>
      <c r="L80" s="834"/>
      <c r="M80" s="834"/>
      <c r="N80" s="834"/>
      <c r="O80" s="834"/>
      <c r="P80" s="834"/>
      <c r="Q80" s="834"/>
      <c r="R80" s="834"/>
      <c r="S80" s="834"/>
      <c r="T80" s="834"/>
      <c r="U80" s="834"/>
      <c r="V80" s="834"/>
      <c r="W80" s="834"/>
      <c r="X80" s="834"/>
      <c r="Y80" s="834"/>
      <c r="Z80" s="834"/>
      <c r="AA80" s="834"/>
      <c r="AB80" s="834"/>
      <c r="AC80" s="834"/>
      <c r="AD80" s="834"/>
      <c r="AE80" s="834"/>
      <c r="AF80" s="834"/>
      <c r="AG80" s="834"/>
      <c r="AH80" s="834"/>
      <c r="AI80" s="834"/>
      <c r="AJ80" s="834"/>
      <c r="AK80" s="834"/>
      <c r="AL80" s="834"/>
      <c r="AM80" s="834"/>
      <c r="AN80" s="834"/>
      <c r="AO80" s="834"/>
      <c r="AP80" s="834"/>
      <c r="AQ80" s="834"/>
      <c r="AR80" s="834"/>
      <c r="AS80" s="834"/>
      <c r="AT80" s="834"/>
      <c r="AU80" s="834"/>
      <c r="AV80" s="834"/>
      <c r="AW80" s="834"/>
      <c r="AX80" s="834"/>
      <c r="AY80" s="834"/>
      <c r="AZ80" s="834"/>
      <c r="BA80" s="834"/>
      <c r="BB80" s="834"/>
      <c r="BC80" s="834"/>
      <c r="BD80" s="834"/>
      <c r="BE80" s="834"/>
      <c r="BF80" s="834"/>
      <c r="BG80" s="834"/>
      <c r="BH80" s="834"/>
      <c r="BI80" s="834"/>
      <c r="BJ80" s="834"/>
      <c r="BK80" s="834"/>
      <c r="BL80" s="834"/>
      <c r="BM80" s="834"/>
      <c r="BN80" s="834"/>
      <c r="BO80" s="834"/>
      <c r="BP80" s="834"/>
      <c r="BQ80" s="834"/>
      <c r="BR80" s="834"/>
      <c r="BS80" s="834"/>
      <c r="BT80" s="834"/>
      <c r="BU80" s="834"/>
      <c r="BV80" s="834"/>
      <c r="BW80" s="834"/>
      <c r="BX80" s="834"/>
      <c r="BY80" s="834"/>
      <c r="BZ80" s="834"/>
      <c r="CA80" s="834"/>
      <c r="CB80" s="834"/>
      <c r="CC80" s="834"/>
      <c r="CD80" s="834"/>
      <c r="CE80" s="834"/>
      <c r="CF80" s="834"/>
      <c r="CG80" s="834"/>
      <c r="CH80" s="834"/>
      <c r="CI80" s="834"/>
      <c r="CJ80" s="834"/>
      <c r="CK80" s="834"/>
      <c r="CL80" s="834"/>
      <c r="CM80" s="834"/>
      <c r="CN80" s="834"/>
      <c r="CO80" s="834"/>
      <c r="CP80" s="834"/>
      <c r="CQ80" s="834"/>
      <c r="CR80" s="834"/>
      <c r="CS80" s="834"/>
      <c r="CT80" s="834"/>
      <c r="CU80" s="834"/>
      <c r="CV80" s="834"/>
      <c r="CW80" s="834"/>
      <c r="CX80" s="834"/>
      <c r="CY80" s="834"/>
      <c r="CZ80" s="834"/>
      <c r="DA80" s="834"/>
      <c r="DB80" s="834"/>
      <c r="DC80" s="834"/>
      <c r="DD80" s="834"/>
      <c r="DE80" s="834"/>
      <c r="DF80" s="834"/>
      <c r="DG80" s="834"/>
      <c r="DH80" s="834"/>
      <c r="DI80" s="834"/>
      <c r="DJ80" s="834"/>
      <c r="DK80" s="834"/>
      <c r="DL80" s="834"/>
      <c r="DM80" s="834"/>
      <c r="DN80" s="834"/>
      <c r="DO80" s="834"/>
      <c r="DP80" s="834"/>
      <c r="DQ80" s="834"/>
      <c r="DR80" s="834"/>
      <c r="DS80" s="834"/>
      <c r="DT80" s="834"/>
      <c r="DU80" s="834"/>
      <c r="DV80" s="834"/>
      <c r="DW80" s="834"/>
      <c r="DX80" s="834"/>
      <c r="DY80" s="834"/>
      <c r="DZ80" s="834"/>
      <c r="EA80" s="834"/>
      <c r="EB80" s="834"/>
      <c r="EC80" s="834"/>
      <c r="ED80" s="834"/>
      <c r="EE80" s="834"/>
      <c r="EF80" s="834"/>
      <c r="EG80" s="834"/>
      <c r="EH80" s="834"/>
      <c r="EI80" s="834"/>
      <c r="EJ80" s="834"/>
      <c r="EK80" s="834"/>
      <c r="EL80" s="834"/>
      <c r="EM80" s="834"/>
      <c r="EN80" s="834"/>
      <c r="EO80" s="834"/>
      <c r="EP80" s="834"/>
      <c r="EQ80" s="834"/>
      <c r="ER80" s="834"/>
      <c r="ES80" s="834"/>
      <c r="ET80" s="834"/>
      <c r="EU80" s="834"/>
      <c r="EV80" s="834"/>
      <c r="EW80" s="834"/>
      <c r="EX80" s="834"/>
      <c r="EY80" s="834"/>
      <c r="EZ80" s="834"/>
      <c r="FA80" s="834"/>
      <c r="FB80" s="834"/>
      <c r="FC80" s="834"/>
      <c r="FD80" s="834"/>
      <c r="FE80" s="834"/>
      <c r="FF80" s="834"/>
      <c r="FG80" s="834"/>
      <c r="FH80" s="834"/>
      <c r="FI80" s="834"/>
      <c r="FJ80" s="834"/>
      <c r="FK80" s="834"/>
      <c r="FL80" s="834"/>
      <c r="FM80" s="834"/>
      <c r="FN80" s="834"/>
      <c r="FO80" s="834"/>
      <c r="FP80" s="834"/>
      <c r="FQ80" s="834"/>
      <c r="FR80" s="834"/>
      <c r="FS80" s="834"/>
      <c r="FT80" s="834"/>
      <c r="FU80" s="834"/>
      <c r="FV80" s="834"/>
      <c r="FW80" s="834"/>
      <c r="FX80" s="834"/>
      <c r="FY80" s="834"/>
      <c r="FZ80" s="834"/>
      <c r="GA80" s="834"/>
      <c r="GB80" s="834"/>
      <c r="GC80" s="834"/>
      <c r="GD80" s="834"/>
      <c r="GE80" s="834"/>
      <c r="GF80" s="834"/>
      <c r="GG80" s="834"/>
      <c r="GH80" s="834"/>
      <c r="GI80" s="834"/>
      <c r="GJ80" s="834"/>
      <c r="GK80" s="834"/>
      <c r="GL80" s="834"/>
      <c r="GM80" s="834"/>
      <c r="GN80" s="834"/>
      <c r="GO80" s="834"/>
      <c r="GP80" s="834"/>
      <c r="GQ80" s="834"/>
      <c r="GR80" s="834"/>
      <c r="GS80" s="834"/>
      <c r="GT80" s="834"/>
      <c r="GU80" s="834"/>
      <c r="GV80" s="834"/>
      <c r="GW80" s="834"/>
      <c r="GX80" s="834"/>
      <c r="GY80" s="834"/>
      <c r="GZ80" s="834"/>
      <c r="HA80" s="834"/>
      <c r="HB80" s="834"/>
      <c r="HC80" s="834"/>
      <c r="HD80" s="834"/>
      <c r="HE80" s="834"/>
      <c r="HF80" s="834"/>
      <c r="HG80" s="834"/>
      <c r="HH80" s="834"/>
      <c r="HI80" s="834"/>
      <c r="HJ80" s="834"/>
      <c r="HK80" s="834"/>
      <c r="HL80" s="834"/>
      <c r="HM80" s="834"/>
      <c r="HN80" s="834"/>
      <c r="HO80" s="834"/>
      <c r="HP80" s="834"/>
      <c r="HQ80" s="834"/>
      <c r="HR80" s="834"/>
      <c r="HS80" s="834"/>
      <c r="HT80" s="834"/>
      <c r="HU80" s="834"/>
      <c r="HV80" s="834"/>
      <c r="HW80" s="834"/>
      <c r="HX80" s="834"/>
      <c r="HY80" s="834"/>
      <c r="HZ80" s="834"/>
      <c r="IA80" s="834"/>
      <c r="IB80" s="834"/>
      <c r="IC80" s="834"/>
      <c r="ID80" s="834"/>
      <c r="IE80" s="834"/>
      <c r="IF80" s="834"/>
      <c r="IG80" s="834"/>
      <c r="IH80" s="834"/>
      <c r="II80" s="834"/>
      <c r="IJ80" s="834"/>
      <c r="IK80" s="834"/>
      <c r="IL80" s="834"/>
      <c r="IM80" s="834"/>
      <c r="IN80" s="834"/>
      <c r="IO80" s="834"/>
      <c r="IP80" s="834"/>
      <c r="IQ80" s="834"/>
      <c r="IR80" s="834"/>
      <c r="IS80" s="834"/>
      <c r="IT80" s="834"/>
      <c r="IU80" s="834"/>
      <c r="IV80" s="834"/>
      <c r="IW80" s="834"/>
      <c r="IX80" s="834"/>
      <c r="IY80" s="834"/>
      <c r="IZ80" s="834"/>
      <c r="JA80" s="834"/>
      <c r="JB80" s="834"/>
      <c r="JC80" s="834"/>
      <c r="JD80" s="834"/>
      <c r="JE80" s="834"/>
      <c r="JF80" s="834"/>
      <c r="JG80" s="834"/>
      <c r="JH80" s="834"/>
      <c r="JI80" s="834"/>
      <c r="JJ80" s="834"/>
      <c r="JK80" s="834"/>
      <c r="JL80" s="834"/>
      <c r="JM80" s="834"/>
      <c r="JN80" s="834"/>
      <c r="JO80" s="834"/>
      <c r="JP80" s="834"/>
      <c r="JQ80" s="834"/>
      <c r="JR80" s="834"/>
      <c r="JS80" s="834"/>
      <c r="JT80" s="834"/>
      <c r="JU80" s="834"/>
      <c r="JV80" s="834"/>
      <c r="JW80" s="834"/>
      <c r="JX80" s="834"/>
      <c r="JY80" s="834"/>
      <c r="JZ80" s="834"/>
      <c r="KA80" s="834"/>
      <c r="KB80" s="834"/>
      <c r="KC80" s="834"/>
      <c r="KD80" s="834"/>
      <c r="KE80" s="834"/>
      <c r="KF80" s="834"/>
      <c r="KG80" s="834"/>
      <c r="KH80" s="834"/>
      <c r="KI80" s="834"/>
      <c r="KJ80" s="834"/>
      <c r="KK80" s="834"/>
      <c r="KL80" s="834"/>
      <c r="KM80" s="834"/>
      <c r="KN80" s="834"/>
      <c r="KO80" s="834"/>
      <c r="KP80" s="834"/>
      <c r="KQ80" s="834"/>
      <c r="KR80" s="834"/>
      <c r="KS80" s="834"/>
      <c r="KT80" s="834"/>
      <c r="KU80" s="834"/>
      <c r="KV80" s="834"/>
      <c r="KW80" s="834"/>
      <c r="KX80" s="834"/>
      <c r="KY80" s="834"/>
      <c r="KZ80" s="834"/>
      <c r="LA80" s="834"/>
      <c r="LB80" s="834"/>
      <c r="LC80" s="834"/>
      <c r="LD80" s="834"/>
      <c r="LE80" s="834"/>
      <c r="LF80" s="834"/>
      <c r="LG80" s="834"/>
      <c r="LH80" s="834"/>
      <c r="LI80" s="834"/>
      <c r="LJ80" s="834"/>
      <c r="LK80" s="834"/>
      <c r="LL80" s="834"/>
      <c r="LM80" s="834"/>
      <c r="LN80" s="834"/>
      <c r="LO80" s="834"/>
      <c r="LP80" s="834"/>
      <c r="LQ80" s="834"/>
      <c r="LR80" s="834"/>
      <c r="LS80" s="834"/>
      <c r="LT80" s="834"/>
      <c r="LU80" s="834"/>
      <c r="LV80" s="834"/>
      <c r="LW80" s="834"/>
      <c r="LX80" s="834"/>
      <c r="LY80" s="834"/>
      <c r="LZ80" s="834"/>
      <c r="MA80" s="834"/>
      <c r="MB80" s="834"/>
      <c r="MC80" s="834"/>
      <c r="MD80" s="834"/>
      <c r="ME80" s="834"/>
      <c r="MF80" s="834"/>
      <c r="MG80" s="834"/>
      <c r="MH80" s="834"/>
      <c r="MI80" s="834"/>
      <c r="MJ80" s="834"/>
      <c r="MK80" s="834"/>
      <c r="ML80" s="834"/>
      <c r="MM80" s="834"/>
      <c r="MN80" s="834"/>
      <c r="MO80" s="834"/>
      <c r="MP80" s="834"/>
      <c r="MQ80" s="834"/>
      <c r="MR80" s="834"/>
      <c r="MS80" s="834"/>
      <c r="MT80" s="834"/>
      <c r="MU80" s="834"/>
      <c r="MV80" s="834"/>
      <c r="MW80" s="834"/>
      <c r="MX80" s="834"/>
      <c r="MY80" s="834"/>
      <c r="MZ80" s="834"/>
      <c r="NA80" s="834"/>
      <c r="NB80" s="834"/>
      <c r="NC80" s="834"/>
      <c r="ND80" s="834"/>
      <c r="NE80" s="834"/>
      <c r="NF80" s="834"/>
      <c r="NG80" s="834"/>
      <c r="NH80" s="834"/>
      <c r="NI80" s="834"/>
      <c r="NJ80" s="834"/>
      <c r="NK80" s="834"/>
      <c r="NL80" s="834"/>
      <c r="NM80" s="834"/>
      <c r="NN80" s="834"/>
      <c r="NO80" s="834"/>
      <c r="NP80" s="834"/>
      <c r="NQ80" s="834"/>
      <c r="NR80" s="834"/>
      <c r="NS80" s="834"/>
      <c r="NT80" s="834"/>
      <c r="NU80" s="834"/>
      <c r="NV80" s="834"/>
      <c r="NW80" s="834"/>
      <c r="NX80" s="834"/>
      <c r="NY80" s="834"/>
      <c r="NZ80" s="834"/>
      <c r="OA80" s="834"/>
      <c r="OB80" s="834"/>
      <c r="OC80" s="834"/>
      <c r="OD80" s="834"/>
      <c r="OE80" s="834"/>
      <c r="OF80" s="834"/>
      <c r="OG80" s="834"/>
      <c r="OH80" s="834"/>
      <c r="OI80" s="834"/>
      <c r="OJ80" s="834"/>
      <c r="OK80" s="834"/>
      <c r="OL80" s="834"/>
      <c r="OM80" s="834"/>
      <c r="ON80" s="834"/>
      <c r="OO80" s="834"/>
      <c r="OP80" s="834"/>
      <c r="OQ80" s="834"/>
      <c r="OR80" s="834"/>
      <c r="OS80" s="834"/>
      <c r="OT80" s="834"/>
      <c r="OU80" s="834"/>
      <c r="OV80" s="834"/>
      <c r="OW80" s="834"/>
      <c r="OX80" s="834"/>
      <c r="OY80" s="834"/>
      <c r="OZ80" s="834"/>
      <c r="PA80" s="834"/>
      <c r="PB80" s="834"/>
      <c r="PC80" s="834"/>
      <c r="PD80" s="834"/>
      <c r="PE80" s="834"/>
      <c r="PF80" s="834"/>
      <c r="PG80" s="834"/>
      <c r="PH80" s="834"/>
      <c r="PI80" s="834"/>
      <c r="PJ80" s="834"/>
      <c r="PK80" s="834"/>
      <c r="PL80" s="834"/>
      <c r="PM80" s="834"/>
      <c r="PN80" s="834"/>
      <c r="PO80" s="834"/>
      <c r="PP80" s="834"/>
      <c r="PQ80" s="834"/>
      <c r="PR80" s="834"/>
      <c r="PS80" s="834"/>
      <c r="PT80" s="834"/>
      <c r="PU80" s="834"/>
      <c r="PV80" s="834"/>
      <c r="PW80" s="834"/>
      <c r="PX80" s="834"/>
      <c r="PY80" s="834"/>
      <c r="PZ80" s="834"/>
      <c r="QA80" s="834"/>
      <c r="QB80" s="834"/>
      <c r="QC80" s="834"/>
      <c r="QD80" s="834"/>
      <c r="QE80" s="834"/>
      <c r="QF80" s="834"/>
      <c r="QG80" s="834"/>
      <c r="QH80" s="834"/>
      <c r="QI80" s="834"/>
      <c r="QJ80" s="834"/>
      <c r="QK80" s="834"/>
      <c r="QL80" s="834"/>
      <c r="QM80" s="834"/>
      <c r="QN80" s="834"/>
      <c r="QO80" s="834"/>
      <c r="QP80" s="834"/>
      <c r="QQ80" s="834"/>
      <c r="QR80" s="834"/>
      <c r="QS80" s="834"/>
      <c r="QT80" s="834"/>
      <c r="QU80" s="834"/>
      <c r="QV80" s="834"/>
      <c r="QW80" s="834"/>
      <c r="QX80" s="834"/>
      <c r="QY80" s="834"/>
      <c r="QZ80" s="834"/>
      <c r="RA80" s="834"/>
      <c r="RB80" s="834"/>
      <c r="RC80" s="834"/>
      <c r="RD80" s="834"/>
      <c r="RE80" s="834"/>
      <c r="RF80" s="834"/>
      <c r="RG80" s="834"/>
      <c r="RH80" s="834"/>
      <c r="RI80" s="834"/>
      <c r="RJ80" s="834"/>
      <c r="RK80" s="834"/>
      <c r="RL80" s="834"/>
      <c r="RM80" s="834"/>
      <c r="RN80" s="834"/>
      <c r="RO80" s="834"/>
      <c r="RP80" s="834"/>
      <c r="RQ80" s="834"/>
      <c r="RR80" s="834"/>
      <c r="RS80" s="834"/>
      <c r="RT80" s="834"/>
      <c r="RU80" s="834"/>
      <c r="RV80" s="834"/>
      <c r="RW80" s="834"/>
      <c r="RX80" s="834"/>
      <c r="RY80" s="834"/>
      <c r="RZ80" s="834"/>
      <c r="SA80" s="834"/>
      <c r="SB80" s="834"/>
      <c r="SC80" s="834"/>
      <c r="SD80" s="834"/>
      <c r="SE80" s="834"/>
      <c r="SF80" s="834"/>
      <c r="SG80" s="834"/>
      <c r="SH80" s="834"/>
      <c r="SI80" s="834"/>
      <c r="SJ80" s="834"/>
      <c r="SK80" s="834"/>
      <c r="SL80" s="834"/>
      <c r="SM80" s="834"/>
      <c r="SN80" s="834"/>
      <c r="SO80" s="834"/>
      <c r="SP80" s="834"/>
      <c r="SQ80" s="834"/>
      <c r="SR80" s="834"/>
      <c r="SS80" s="834"/>
      <c r="ST80" s="834"/>
      <c r="SU80" s="834"/>
      <c r="SV80" s="834"/>
      <c r="SW80" s="834"/>
      <c r="SX80" s="834"/>
      <c r="SY80" s="834"/>
      <c r="SZ80" s="834"/>
      <c r="TA80" s="834"/>
      <c r="TB80" s="834"/>
      <c r="TC80" s="834"/>
      <c r="TD80" s="834"/>
      <c r="TE80" s="834"/>
      <c r="TF80" s="834"/>
      <c r="TG80" s="834"/>
      <c r="TH80" s="834"/>
      <c r="TI80" s="834"/>
      <c r="TJ80" s="834"/>
      <c r="TK80" s="834"/>
      <c r="TL80" s="834"/>
      <c r="TM80" s="834"/>
      <c r="TN80" s="834"/>
      <c r="TO80" s="834"/>
      <c r="TP80" s="834"/>
      <c r="TQ80" s="834"/>
      <c r="TR80" s="834"/>
      <c r="TS80" s="834"/>
      <c r="TT80" s="834"/>
      <c r="TU80" s="834"/>
      <c r="TV80" s="834"/>
      <c r="TW80" s="834"/>
      <c r="TX80" s="834"/>
      <c r="TY80" s="834"/>
      <c r="TZ80" s="834"/>
      <c r="UA80" s="834"/>
      <c r="UB80" s="834"/>
      <c r="UC80" s="834"/>
      <c r="UD80" s="834"/>
      <c r="UE80" s="834"/>
      <c r="UF80" s="834"/>
      <c r="UG80" s="834"/>
      <c r="UH80" s="834"/>
      <c r="UI80" s="834"/>
      <c r="UJ80" s="834"/>
      <c r="UK80" s="834"/>
      <c r="UL80" s="834"/>
      <c r="UM80" s="834"/>
      <c r="UN80" s="834"/>
      <c r="UO80" s="834"/>
      <c r="UP80" s="834"/>
      <c r="UQ80" s="834"/>
      <c r="UR80" s="834"/>
      <c r="US80" s="834"/>
      <c r="UT80" s="834"/>
      <c r="UU80" s="834"/>
      <c r="UV80" s="834"/>
      <c r="UW80" s="834"/>
      <c r="UX80" s="834"/>
      <c r="UY80" s="834"/>
      <c r="UZ80" s="834"/>
      <c r="VA80" s="834"/>
      <c r="VB80" s="834"/>
      <c r="VC80" s="834"/>
      <c r="VD80" s="834"/>
      <c r="VE80" s="834"/>
      <c r="VF80" s="834"/>
      <c r="VG80" s="834"/>
      <c r="VH80" s="834"/>
      <c r="VI80" s="834"/>
      <c r="VJ80" s="834"/>
      <c r="VK80" s="834"/>
      <c r="VL80" s="834"/>
      <c r="VM80" s="834"/>
      <c r="VN80" s="834"/>
      <c r="VO80" s="834"/>
      <c r="VP80" s="834"/>
      <c r="VQ80" s="834"/>
      <c r="VR80" s="834"/>
      <c r="VS80" s="834"/>
      <c r="VT80" s="834"/>
      <c r="VU80" s="834"/>
      <c r="VV80" s="834"/>
      <c r="VW80" s="834"/>
      <c r="VX80" s="834"/>
      <c r="VY80" s="834"/>
      <c r="VZ80" s="834"/>
      <c r="WA80" s="834"/>
      <c r="WB80" s="834"/>
      <c r="WC80" s="834"/>
      <c r="WD80" s="834"/>
      <c r="WE80" s="834"/>
      <c r="WF80" s="834"/>
      <c r="WG80" s="834"/>
      <c r="WH80" s="834"/>
      <c r="WI80" s="834"/>
      <c r="WJ80" s="834"/>
      <c r="WK80" s="834"/>
      <c r="WL80" s="834"/>
      <c r="WM80" s="834"/>
      <c r="WN80" s="834"/>
      <c r="WO80" s="834"/>
      <c r="WP80" s="834"/>
      <c r="WQ80" s="834"/>
      <c r="WR80" s="834"/>
      <c r="WS80" s="834"/>
      <c r="WT80" s="834"/>
      <c r="WU80" s="834"/>
      <c r="WV80" s="834"/>
      <c r="WW80" s="834"/>
      <c r="WX80" s="834"/>
      <c r="WY80" s="834"/>
      <c r="WZ80" s="834"/>
      <c r="XA80" s="834"/>
      <c r="XB80" s="834"/>
      <c r="XC80" s="834"/>
      <c r="XD80" s="834"/>
      <c r="XE80" s="834"/>
      <c r="XF80" s="834"/>
      <c r="XG80" s="834"/>
      <c r="XH80" s="834"/>
      <c r="XI80" s="834"/>
      <c r="XJ80" s="834"/>
      <c r="XK80" s="834"/>
      <c r="XL80" s="834"/>
      <c r="XM80" s="834"/>
      <c r="XN80" s="834"/>
      <c r="XO80" s="834"/>
      <c r="XP80" s="834"/>
      <c r="XQ80" s="834"/>
      <c r="XR80" s="834"/>
      <c r="XS80" s="834"/>
      <c r="XT80" s="834"/>
      <c r="XU80" s="834"/>
      <c r="XV80" s="834"/>
      <c r="XW80" s="834"/>
      <c r="XX80" s="834"/>
      <c r="XY80" s="834"/>
      <c r="XZ80" s="834"/>
      <c r="YA80" s="834"/>
      <c r="YB80" s="834"/>
      <c r="YC80" s="834"/>
      <c r="YD80" s="834"/>
      <c r="YE80" s="834"/>
      <c r="YF80" s="834"/>
      <c r="YG80" s="834"/>
      <c r="YH80" s="834"/>
      <c r="YI80" s="834"/>
      <c r="YJ80" s="834"/>
      <c r="YK80" s="834"/>
      <c r="YL80" s="834"/>
      <c r="YM80" s="834"/>
      <c r="YN80" s="834"/>
      <c r="YO80" s="834"/>
      <c r="YP80" s="834"/>
      <c r="YQ80" s="834"/>
      <c r="YR80" s="834"/>
      <c r="YS80" s="834"/>
      <c r="YT80" s="834"/>
      <c r="YU80" s="834"/>
      <c r="YV80" s="834"/>
      <c r="YW80" s="834"/>
      <c r="YX80" s="834"/>
      <c r="YY80" s="834"/>
      <c r="YZ80" s="834"/>
      <c r="ZA80" s="834"/>
      <c r="ZB80" s="834"/>
      <c r="ZC80" s="834"/>
      <c r="ZD80" s="834"/>
      <c r="ZE80" s="834"/>
      <c r="ZF80" s="834"/>
      <c r="ZG80" s="834"/>
      <c r="ZH80" s="834"/>
      <c r="ZI80" s="834"/>
      <c r="ZJ80" s="834"/>
      <c r="ZK80" s="834"/>
      <c r="ZL80" s="834"/>
      <c r="ZM80" s="834"/>
      <c r="ZN80" s="834"/>
      <c r="ZO80" s="834"/>
      <c r="ZP80" s="834"/>
      <c r="ZQ80" s="834"/>
      <c r="ZR80" s="834"/>
      <c r="ZS80" s="834"/>
      <c r="ZT80" s="834"/>
      <c r="ZU80" s="834"/>
      <c r="ZV80" s="834"/>
      <c r="ZW80" s="834"/>
      <c r="ZX80" s="834"/>
      <c r="ZY80" s="834"/>
      <c r="ZZ80" s="834"/>
      <c r="AAA80" s="834"/>
      <c r="AAB80" s="834"/>
      <c r="AAC80" s="834"/>
      <c r="AAD80" s="834"/>
      <c r="AAE80" s="834"/>
      <c r="AAF80" s="834"/>
      <c r="AAG80" s="834"/>
      <c r="AAH80" s="834"/>
      <c r="AAI80" s="834"/>
      <c r="AAJ80" s="834"/>
      <c r="AAK80" s="834"/>
      <c r="AAL80" s="834"/>
      <c r="AAM80" s="834"/>
      <c r="AAN80" s="834"/>
      <c r="AAO80" s="834"/>
      <c r="AAP80" s="834"/>
      <c r="AAQ80" s="834"/>
      <c r="AAR80" s="834"/>
      <c r="AAS80" s="834"/>
      <c r="AAT80" s="834"/>
      <c r="AAU80" s="834"/>
      <c r="AAV80" s="834"/>
      <c r="AAW80" s="834"/>
      <c r="AAX80" s="834"/>
      <c r="AAY80" s="834"/>
      <c r="AAZ80" s="834"/>
      <c r="ABA80" s="834"/>
      <c r="ABB80" s="834"/>
      <c r="ABC80" s="834"/>
      <c r="ABD80" s="834"/>
      <c r="ABE80" s="834"/>
      <c r="ABF80" s="834"/>
      <c r="ABG80" s="834"/>
      <c r="ABH80" s="834"/>
      <c r="ABI80" s="834"/>
      <c r="ABJ80" s="834"/>
      <c r="ABK80" s="834"/>
      <c r="ABL80" s="834"/>
      <c r="ABM80" s="834"/>
      <c r="ABN80" s="834"/>
      <c r="ABO80" s="834"/>
      <c r="ABP80" s="834"/>
      <c r="ABQ80" s="834"/>
      <c r="ABR80" s="834"/>
      <c r="ABS80" s="834"/>
      <c r="ABT80" s="834"/>
      <c r="ABU80" s="834"/>
      <c r="ABV80" s="834"/>
      <c r="ABW80" s="834"/>
      <c r="ABX80" s="834"/>
      <c r="ABY80" s="834"/>
      <c r="ABZ80" s="834"/>
      <c r="ACA80" s="834"/>
      <c r="ACB80" s="834"/>
      <c r="ACC80" s="834"/>
      <c r="ACD80" s="834"/>
      <c r="ACE80" s="834"/>
      <c r="ACF80" s="834"/>
      <c r="ACG80" s="834"/>
      <c r="ACH80" s="834"/>
      <c r="ACI80" s="834"/>
      <c r="ACJ80" s="834"/>
      <c r="ACK80" s="834"/>
      <c r="ACL80" s="834"/>
      <c r="ACM80" s="834"/>
      <c r="ACN80" s="834"/>
      <c r="ACO80" s="834"/>
      <c r="ACP80" s="834"/>
      <c r="ACQ80" s="834"/>
      <c r="ACR80" s="834"/>
      <c r="ACS80" s="834"/>
      <c r="ACT80" s="834"/>
      <c r="ACU80" s="834"/>
      <c r="ACV80" s="834"/>
      <c r="ACW80" s="834"/>
      <c r="ACX80" s="834"/>
      <c r="ACY80" s="834"/>
      <c r="ACZ80" s="834"/>
      <c r="ADA80" s="834"/>
      <c r="ADB80" s="834"/>
      <c r="ADC80" s="834"/>
      <c r="ADD80" s="834"/>
      <c r="ADE80" s="834"/>
      <c r="ADF80" s="834"/>
      <c r="ADG80" s="834"/>
      <c r="ADH80" s="834"/>
      <c r="ADI80" s="834"/>
      <c r="ADJ80" s="834"/>
      <c r="ADK80" s="834"/>
      <c r="ADL80" s="834"/>
      <c r="ADM80" s="834"/>
      <c r="ADN80" s="834"/>
      <c r="ADO80" s="834"/>
      <c r="ADP80" s="834"/>
      <c r="ADQ80" s="834"/>
      <c r="ADR80" s="834"/>
      <c r="ADS80" s="834"/>
      <c r="ADT80" s="834"/>
      <c r="ADU80" s="834"/>
      <c r="ADV80" s="834"/>
      <c r="ADW80" s="834"/>
      <c r="ADX80" s="834"/>
      <c r="ADY80" s="834"/>
      <c r="ADZ80" s="834"/>
      <c r="AEA80" s="834"/>
      <c r="AEB80" s="834"/>
      <c r="AEC80" s="834"/>
      <c r="AED80" s="834"/>
      <c r="AEE80" s="834"/>
      <c r="AEF80" s="834"/>
      <c r="AEG80" s="834"/>
      <c r="AEH80" s="834"/>
      <c r="AEI80" s="834"/>
      <c r="AEJ80" s="834"/>
      <c r="AEK80" s="834"/>
      <c r="AEL80" s="834"/>
      <c r="AEM80" s="834"/>
      <c r="AEN80" s="834"/>
      <c r="AEO80" s="834"/>
      <c r="AEP80" s="834"/>
      <c r="AEQ80" s="834"/>
      <c r="AER80" s="834"/>
      <c r="AES80" s="834"/>
      <c r="AET80" s="834"/>
      <c r="AEU80" s="834"/>
      <c r="AEV80" s="834"/>
      <c r="AEW80" s="834"/>
      <c r="AEX80" s="834"/>
      <c r="AEY80" s="834"/>
      <c r="AEZ80" s="834"/>
      <c r="AFA80" s="834"/>
      <c r="AFB80" s="834"/>
      <c r="AFC80" s="834"/>
      <c r="AFD80" s="834"/>
      <c r="AFE80" s="834"/>
      <c r="AFF80" s="834"/>
      <c r="AFG80" s="834"/>
      <c r="AFH80" s="834"/>
      <c r="AFI80" s="834"/>
      <c r="AFJ80" s="834"/>
      <c r="AFK80" s="834"/>
      <c r="AFL80" s="834"/>
      <c r="AFM80" s="834"/>
      <c r="AFN80" s="834"/>
      <c r="AFO80" s="834"/>
      <c r="AFP80" s="834"/>
      <c r="AFQ80" s="834"/>
      <c r="AFR80" s="834"/>
      <c r="AFS80" s="834"/>
      <c r="AFT80" s="834"/>
      <c r="AFU80" s="834"/>
      <c r="AFV80" s="834"/>
      <c r="AFW80" s="834"/>
      <c r="AFX80" s="834"/>
      <c r="AFY80" s="834"/>
      <c r="AFZ80" s="834"/>
      <c r="AGA80" s="834"/>
      <c r="AGB80" s="834"/>
      <c r="AGC80" s="834"/>
      <c r="AGD80" s="834"/>
      <c r="AGE80" s="834"/>
      <c r="AGF80" s="834"/>
      <c r="AGG80" s="834"/>
      <c r="AGH80" s="834"/>
      <c r="AGI80" s="834"/>
      <c r="AGJ80" s="834"/>
      <c r="AGK80" s="834"/>
      <c r="AGL80" s="834"/>
      <c r="AGM80" s="834"/>
      <c r="AGN80" s="834"/>
      <c r="AGO80" s="834"/>
      <c r="AGP80" s="834"/>
      <c r="AGQ80" s="834"/>
      <c r="AGR80" s="834"/>
      <c r="AGS80" s="834"/>
      <c r="AGT80" s="834"/>
      <c r="AGU80" s="834"/>
      <c r="AGV80" s="834"/>
      <c r="AGW80" s="834"/>
      <c r="AGX80" s="834"/>
      <c r="AGY80" s="834"/>
      <c r="AGZ80" s="834"/>
      <c r="AHA80" s="834"/>
      <c r="AHB80" s="834"/>
      <c r="AHC80" s="834"/>
      <c r="AHD80" s="834"/>
      <c r="AHE80" s="834"/>
      <c r="AHF80" s="834"/>
      <c r="AHG80" s="834"/>
      <c r="AHH80" s="834"/>
      <c r="AHI80" s="834"/>
      <c r="AHJ80" s="834"/>
      <c r="AHK80" s="834"/>
      <c r="AHL80" s="834"/>
      <c r="AHM80" s="834"/>
      <c r="AHN80" s="834"/>
      <c r="AHO80" s="834"/>
      <c r="AHP80" s="834"/>
      <c r="AHQ80" s="834"/>
      <c r="AHR80" s="834"/>
      <c r="AHS80" s="834"/>
      <c r="AHT80" s="834"/>
      <c r="AHU80" s="834"/>
      <c r="AHV80" s="834"/>
      <c r="AHW80" s="834"/>
      <c r="AHX80" s="834"/>
      <c r="AHY80" s="834"/>
      <c r="AHZ80" s="834"/>
      <c r="AIA80" s="834"/>
      <c r="AIB80" s="834"/>
      <c r="AIC80" s="834"/>
      <c r="AID80" s="834"/>
      <c r="AIE80" s="834"/>
      <c r="AIF80" s="834"/>
      <c r="AIG80" s="834"/>
      <c r="AIH80" s="834"/>
      <c r="AII80" s="834"/>
      <c r="AIJ80" s="834"/>
      <c r="AIK80" s="834"/>
      <c r="AIL80" s="834"/>
      <c r="AIM80" s="834"/>
      <c r="AIN80" s="834"/>
      <c r="AIO80" s="834"/>
      <c r="AIP80" s="834"/>
      <c r="AIQ80" s="834"/>
      <c r="AIR80" s="834"/>
      <c r="AIS80" s="834"/>
      <c r="AIT80" s="834"/>
      <c r="AIU80" s="834"/>
      <c r="AIV80" s="834"/>
      <c r="AIW80" s="834"/>
      <c r="AIX80" s="834"/>
      <c r="AIY80" s="834"/>
      <c r="AIZ80" s="834"/>
      <c r="AJA80" s="834"/>
      <c r="AJB80" s="834"/>
      <c r="AJC80" s="834"/>
      <c r="AJD80" s="834"/>
      <c r="AJE80" s="834"/>
      <c r="AJF80" s="834"/>
      <c r="AJG80" s="834"/>
      <c r="AJH80" s="834"/>
      <c r="AJI80" s="834"/>
      <c r="AJJ80" s="834"/>
      <c r="AJK80" s="834"/>
      <c r="AJL80" s="834"/>
      <c r="AJM80" s="834"/>
      <c r="AJN80" s="834"/>
      <c r="AJO80" s="834"/>
      <c r="AJP80" s="834"/>
      <c r="AJQ80" s="834"/>
      <c r="AJR80" s="834"/>
      <c r="AJS80" s="834"/>
      <c r="AJT80" s="834"/>
      <c r="AJU80" s="834"/>
      <c r="AJV80" s="834"/>
      <c r="AJW80" s="834"/>
      <c r="AJX80" s="834"/>
      <c r="AJY80" s="834"/>
      <c r="AJZ80" s="834"/>
      <c r="AKA80" s="834"/>
      <c r="AKB80" s="834"/>
      <c r="AKC80" s="834"/>
      <c r="AKD80" s="834"/>
      <c r="AKE80" s="834"/>
      <c r="AKF80" s="834"/>
      <c r="AKG80" s="834"/>
      <c r="AKH80" s="834"/>
      <c r="AKI80" s="834"/>
      <c r="AKJ80" s="834"/>
      <c r="AKK80" s="834"/>
      <c r="AKL80" s="834"/>
      <c r="AKM80" s="834"/>
      <c r="AKN80" s="834"/>
      <c r="AKO80" s="834"/>
      <c r="AKP80" s="834"/>
      <c r="AKQ80" s="834"/>
      <c r="AKR80" s="834"/>
      <c r="AKS80" s="834"/>
      <c r="AKT80" s="834"/>
      <c r="AKU80" s="834"/>
      <c r="AKV80" s="834"/>
      <c r="AKW80" s="834"/>
      <c r="AKX80" s="834"/>
      <c r="AKY80" s="834"/>
      <c r="AKZ80" s="834"/>
      <c r="ALA80" s="834"/>
      <c r="ALB80" s="834"/>
      <c r="ALC80" s="834"/>
      <c r="ALD80" s="834"/>
      <c r="ALE80" s="834"/>
      <c r="ALF80" s="834"/>
      <c r="ALG80" s="834"/>
      <c r="ALH80" s="834"/>
      <c r="ALI80" s="834"/>
      <c r="ALJ80" s="834"/>
      <c r="ALK80" s="834"/>
      <c r="ALL80" s="834"/>
      <c r="ALM80" s="834"/>
      <c r="ALN80" s="834"/>
      <c r="ALO80" s="834"/>
      <c r="ALP80" s="834"/>
      <c r="ALQ80" s="834"/>
      <c r="ALR80" s="834"/>
      <c r="ALS80" s="834"/>
      <c r="ALT80" s="834"/>
      <c r="ALU80" s="834"/>
      <c r="ALV80" s="834"/>
      <c r="ALW80" s="834"/>
      <c r="ALX80" s="834"/>
      <c r="ALY80" s="834"/>
      <c r="ALZ80" s="834"/>
      <c r="AMA80" s="834"/>
      <c r="AMB80" s="834"/>
      <c r="AMC80" s="834"/>
      <c r="AMD80" s="834"/>
      <c r="AME80" s="834"/>
      <c r="AMF80" s="834"/>
      <c r="AMG80" s="834"/>
      <c r="AMH80" s="834"/>
      <c r="AMI80" s="834"/>
      <c r="AMJ80" s="834"/>
      <c r="AMK80" s="834"/>
      <c r="AML80" s="834"/>
    </row>
    <row r="81" spans="1:1026" s="826" customFormat="1" ht="24.95" customHeight="1" outlineLevel="1">
      <c r="A81" s="900"/>
      <c r="B81" s="901" t="s">
        <v>183</v>
      </c>
      <c r="C81" s="907"/>
      <c r="D81" s="922" t="s">
        <v>184</v>
      </c>
      <c r="E81" s="418"/>
      <c r="F81" s="903"/>
      <c r="G81" s="908"/>
      <c r="H81" s="905"/>
      <c r="I81" s="900"/>
      <c r="J81" s="917"/>
      <c r="K81" s="918"/>
      <c r="L81" s="834"/>
      <c r="M81" s="834"/>
      <c r="N81" s="834"/>
      <c r="O81" s="834"/>
      <c r="P81" s="834"/>
      <c r="Q81" s="834"/>
      <c r="R81" s="834"/>
      <c r="S81" s="834"/>
      <c r="T81" s="834"/>
      <c r="U81" s="834"/>
      <c r="V81" s="834"/>
      <c r="W81" s="834"/>
      <c r="X81" s="834"/>
      <c r="Y81" s="834"/>
      <c r="Z81" s="834"/>
      <c r="AA81" s="834"/>
      <c r="AB81" s="834"/>
      <c r="AC81" s="834"/>
      <c r="AD81" s="834"/>
      <c r="AE81" s="834"/>
      <c r="AF81" s="834"/>
      <c r="AG81" s="834"/>
      <c r="AH81" s="834"/>
      <c r="AI81" s="834"/>
      <c r="AJ81" s="834"/>
      <c r="AK81" s="834"/>
      <c r="AL81" s="834"/>
      <c r="AM81" s="834"/>
      <c r="AN81" s="834"/>
      <c r="AO81" s="834"/>
      <c r="AP81" s="834"/>
      <c r="AQ81" s="834"/>
      <c r="AR81" s="834"/>
      <c r="AS81" s="834"/>
      <c r="AT81" s="834"/>
      <c r="AU81" s="834"/>
      <c r="AV81" s="834"/>
      <c r="AW81" s="834"/>
      <c r="AX81" s="834"/>
      <c r="AY81" s="834"/>
      <c r="AZ81" s="834"/>
      <c r="BA81" s="834"/>
      <c r="BB81" s="834"/>
      <c r="BC81" s="834"/>
      <c r="BD81" s="834"/>
      <c r="BE81" s="834"/>
      <c r="BF81" s="834"/>
      <c r="BG81" s="834"/>
      <c r="BH81" s="834"/>
      <c r="BI81" s="834"/>
      <c r="BJ81" s="834"/>
      <c r="BK81" s="834"/>
      <c r="BL81" s="834"/>
      <c r="BM81" s="834"/>
      <c r="BN81" s="834"/>
      <c r="BO81" s="834"/>
      <c r="BP81" s="834"/>
      <c r="BQ81" s="834"/>
      <c r="BR81" s="834"/>
      <c r="BS81" s="834"/>
      <c r="BT81" s="834"/>
      <c r="BU81" s="834"/>
      <c r="BV81" s="834"/>
      <c r="BW81" s="834"/>
      <c r="BX81" s="834"/>
      <c r="BY81" s="834"/>
      <c r="BZ81" s="834"/>
      <c r="CA81" s="834"/>
      <c r="CB81" s="834"/>
      <c r="CC81" s="834"/>
      <c r="CD81" s="834"/>
      <c r="CE81" s="834"/>
      <c r="CF81" s="834"/>
      <c r="CG81" s="834"/>
      <c r="CH81" s="834"/>
      <c r="CI81" s="834"/>
      <c r="CJ81" s="834"/>
      <c r="CK81" s="834"/>
      <c r="CL81" s="834"/>
      <c r="CM81" s="834"/>
      <c r="CN81" s="834"/>
      <c r="CO81" s="834"/>
      <c r="CP81" s="834"/>
      <c r="CQ81" s="834"/>
      <c r="CR81" s="834"/>
      <c r="CS81" s="834"/>
      <c r="CT81" s="834"/>
      <c r="CU81" s="834"/>
      <c r="CV81" s="834"/>
      <c r="CW81" s="834"/>
      <c r="CX81" s="834"/>
      <c r="CY81" s="834"/>
      <c r="CZ81" s="834"/>
      <c r="DA81" s="834"/>
      <c r="DB81" s="834"/>
      <c r="DC81" s="834"/>
      <c r="DD81" s="834"/>
      <c r="DE81" s="834"/>
      <c r="DF81" s="834"/>
      <c r="DG81" s="834"/>
      <c r="DH81" s="834"/>
      <c r="DI81" s="834"/>
      <c r="DJ81" s="834"/>
      <c r="DK81" s="834"/>
      <c r="DL81" s="834"/>
      <c r="DM81" s="834"/>
      <c r="DN81" s="834"/>
      <c r="DO81" s="834"/>
      <c r="DP81" s="834"/>
      <c r="DQ81" s="834"/>
      <c r="DR81" s="834"/>
      <c r="DS81" s="834"/>
      <c r="DT81" s="834"/>
      <c r="DU81" s="834"/>
      <c r="DV81" s="834"/>
      <c r="DW81" s="834"/>
      <c r="DX81" s="834"/>
      <c r="DY81" s="834"/>
      <c r="DZ81" s="834"/>
      <c r="EA81" s="834"/>
      <c r="EB81" s="834"/>
      <c r="EC81" s="834"/>
      <c r="ED81" s="834"/>
      <c r="EE81" s="834"/>
      <c r="EF81" s="834"/>
      <c r="EG81" s="834"/>
      <c r="EH81" s="834"/>
      <c r="EI81" s="834"/>
      <c r="EJ81" s="834"/>
      <c r="EK81" s="834"/>
      <c r="EL81" s="834"/>
      <c r="EM81" s="834"/>
      <c r="EN81" s="834"/>
      <c r="EO81" s="834"/>
      <c r="EP81" s="834"/>
      <c r="EQ81" s="834"/>
      <c r="ER81" s="834"/>
      <c r="ES81" s="834"/>
      <c r="ET81" s="834"/>
      <c r="EU81" s="834"/>
      <c r="EV81" s="834"/>
      <c r="EW81" s="834"/>
      <c r="EX81" s="834"/>
      <c r="EY81" s="834"/>
      <c r="EZ81" s="834"/>
      <c r="FA81" s="834"/>
      <c r="FB81" s="834"/>
      <c r="FC81" s="834"/>
      <c r="FD81" s="834"/>
      <c r="FE81" s="834"/>
      <c r="FF81" s="834"/>
      <c r="FG81" s="834"/>
      <c r="FH81" s="834"/>
      <c r="FI81" s="834"/>
      <c r="FJ81" s="834"/>
      <c r="FK81" s="834"/>
      <c r="FL81" s="834"/>
      <c r="FM81" s="834"/>
      <c r="FN81" s="834"/>
      <c r="FO81" s="834"/>
      <c r="FP81" s="834"/>
      <c r="FQ81" s="834"/>
      <c r="FR81" s="834"/>
      <c r="FS81" s="834"/>
      <c r="FT81" s="834"/>
      <c r="FU81" s="834"/>
      <c r="FV81" s="834"/>
      <c r="FW81" s="834"/>
      <c r="FX81" s="834"/>
      <c r="FY81" s="834"/>
      <c r="FZ81" s="834"/>
      <c r="GA81" s="834"/>
      <c r="GB81" s="834"/>
      <c r="GC81" s="834"/>
      <c r="GD81" s="834"/>
      <c r="GE81" s="834"/>
      <c r="GF81" s="834"/>
      <c r="GG81" s="834"/>
      <c r="GH81" s="834"/>
      <c r="GI81" s="834"/>
      <c r="GJ81" s="834"/>
      <c r="GK81" s="834"/>
      <c r="GL81" s="834"/>
      <c r="GM81" s="834"/>
      <c r="GN81" s="834"/>
      <c r="GO81" s="834"/>
      <c r="GP81" s="834"/>
      <c r="GQ81" s="834"/>
      <c r="GR81" s="834"/>
      <c r="GS81" s="834"/>
      <c r="GT81" s="834"/>
      <c r="GU81" s="834"/>
      <c r="GV81" s="834"/>
      <c r="GW81" s="834"/>
      <c r="GX81" s="834"/>
      <c r="GY81" s="834"/>
      <c r="GZ81" s="834"/>
      <c r="HA81" s="834"/>
      <c r="HB81" s="834"/>
      <c r="HC81" s="834"/>
      <c r="HD81" s="834"/>
      <c r="HE81" s="834"/>
      <c r="HF81" s="834"/>
      <c r="HG81" s="834"/>
      <c r="HH81" s="834"/>
      <c r="HI81" s="834"/>
      <c r="HJ81" s="834"/>
      <c r="HK81" s="834"/>
      <c r="HL81" s="834"/>
      <c r="HM81" s="834"/>
      <c r="HN81" s="834"/>
      <c r="HO81" s="834"/>
      <c r="HP81" s="834"/>
      <c r="HQ81" s="834"/>
      <c r="HR81" s="834"/>
      <c r="HS81" s="834"/>
      <c r="HT81" s="834"/>
      <c r="HU81" s="834"/>
      <c r="HV81" s="834"/>
      <c r="HW81" s="834"/>
      <c r="HX81" s="834"/>
      <c r="HY81" s="834"/>
      <c r="HZ81" s="834"/>
      <c r="IA81" s="834"/>
      <c r="IB81" s="834"/>
      <c r="IC81" s="834"/>
      <c r="ID81" s="834"/>
      <c r="IE81" s="834"/>
      <c r="IF81" s="834"/>
      <c r="IG81" s="834"/>
      <c r="IH81" s="834"/>
      <c r="II81" s="834"/>
      <c r="IJ81" s="834"/>
      <c r="IK81" s="834"/>
      <c r="IL81" s="834"/>
      <c r="IM81" s="834"/>
      <c r="IN81" s="834"/>
      <c r="IO81" s="834"/>
      <c r="IP81" s="834"/>
      <c r="IQ81" s="834"/>
      <c r="IR81" s="834"/>
      <c r="IS81" s="834"/>
      <c r="IT81" s="834"/>
      <c r="IU81" s="834"/>
      <c r="IV81" s="834"/>
      <c r="IW81" s="834"/>
      <c r="IX81" s="834"/>
      <c r="IY81" s="834"/>
      <c r="IZ81" s="834"/>
      <c r="JA81" s="834"/>
      <c r="JB81" s="834"/>
      <c r="JC81" s="834"/>
      <c r="JD81" s="834"/>
      <c r="JE81" s="834"/>
      <c r="JF81" s="834"/>
      <c r="JG81" s="834"/>
      <c r="JH81" s="834"/>
      <c r="JI81" s="834"/>
      <c r="JJ81" s="834"/>
      <c r="JK81" s="834"/>
      <c r="JL81" s="834"/>
      <c r="JM81" s="834"/>
      <c r="JN81" s="834"/>
      <c r="JO81" s="834"/>
      <c r="JP81" s="834"/>
      <c r="JQ81" s="834"/>
      <c r="JR81" s="834"/>
      <c r="JS81" s="834"/>
      <c r="JT81" s="834"/>
      <c r="JU81" s="834"/>
      <c r="JV81" s="834"/>
      <c r="JW81" s="834"/>
      <c r="JX81" s="834"/>
      <c r="JY81" s="834"/>
      <c r="JZ81" s="834"/>
      <c r="KA81" s="834"/>
      <c r="KB81" s="834"/>
      <c r="KC81" s="834"/>
      <c r="KD81" s="834"/>
      <c r="KE81" s="834"/>
      <c r="KF81" s="834"/>
      <c r="KG81" s="834"/>
      <c r="KH81" s="834"/>
      <c r="KI81" s="834"/>
      <c r="KJ81" s="834"/>
      <c r="KK81" s="834"/>
      <c r="KL81" s="834"/>
      <c r="KM81" s="834"/>
      <c r="KN81" s="834"/>
      <c r="KO81" s="834"/>
      <c r="KP81" s="834"/>
      <c r="KQ81" s="834"/>
      <c r="KR81" s="834"/>
      <c r="KS81" s="834"/>
      <c r="KT81" s="834"/>
      <c r="KU81" s="834"/>
      <c r="KV81" s="834"/>
      <c r="KW81" s="834"/>
      <c r="KX81" s="834"/>
      <c r="KY81" s="834"/>
      <c r="KZ81" s="834"/>
      <c r="LA81" s="834"/>
      <c r="LB81" s="834"/>
      <c r="LC81" s="834"/>
      <c r="LD81" s="834"/>
      <c r="LE81" s="834"/>
      <c r="LF81" s="834"/>
      <c r="LG81" s="834"/>
      <c r="LH81" s="834"/>
      <c r="LI81" s="834"/>
      <c r="LJ81" s="834"/>
      <c r="LK81" s="834"/>
      <c r="LL81" s="834"/>
      <c r="LM81" s="834"/>
      <c r="LN81" s="834"/>
      <c r="LO81" s="834"/>
      <c r="LP81" s="834"/>
      <c r="LQ81" s="834"/>
      <c r="LR81" s="834"/>
      <c r="LS81" s="834"/>
      <c r="LT81" s="834"/>
      <c r="LU81" s="834"/>
      <c r="LV81" s="834"/>
      <c r="LW81" s="834"/>
      <c r="LX81" s="834"/>
      <c r="LY81" s="834"/>
      <c r="LZ81" s="834"/>
      <c r="MA81" s="834"/>
      <c r="MB81" s="834"/>
      <c r="MC81" s="834"/>
      <c r="MD81" s="834"/>
      <c r="ME81" s="834"/>
      <c r="MF81" s="834"/>
      <c r="MG81" s="834"/>
      <c r="MH81" s="834"/>
      <c r="MI81" s="834"/>
      <c r="MJ81" s="834"/>
      <c r="MK81" s="834"/>
      <c r="ML81" s="834"/>
      <c r="MM81" s="834"/>
      <c r="MN81" s="834"/>
      <c r="MO81" s="834"/>
      <c r="MP81" s="834"/>
      <c r="MQ81" s="834"/>
      <c r="MR81" s="834"/>
      <c r="MS81" s="834"/>
      <c r="MT81" s="834"/>
      <c r="MU81" s="834"/>
      <c r="MV81" s="834"/>
      <c r="MW81" s="834"/>
      <c r="MX81" s="834"/>
      <c r="MY81" s="834"/>
      <c r="MZ81" s="834"/>
      <c r="NA81" s="834"/>
      <c r="NB81" s="834"/>
      <c r="NC81" s="834"/>
      <c r="ND81" s="834"/>
      <c r="NE81" s="834"/>
      <c r="NF81" s="834"/>
      <c r="NG81" s="834"/>
      <c r="NH81" s="834"/>
      <c r="NI81" s="834"/>
      <c r="NJ81" s="834"/>
      <c r="NK81" s="834"/>
      <c r="NL81" s="834"/>
      <c r="NM81" s="834"/>
      <c r="NN81" s="834"/>
      <c r="NO81" s="834"/>
      <c r="NP81" s="834"/>
      <c r="NQ81" s="834"/>
      <c r="NR81" s="834"/>
      <c r="NS81" s="834"/>
      <c r="NT81" s="834"/>
      <c r="NU81" s="834"/>
      <c r="NV81" s="834"/>
      <c r="NW81" s="834"/>
      <c r="NX81" s="834"/>
      <c r="NY81" s="834"/>
      <c r="NZ81" s="834"/>
      <c r="OA81" s="834"/>
      <c r="OB81" s="834"/>
      <c r="OC81" s="834"/>
      <c r="OD81" s="834"/>
      <c r="OE81" s="834"/>
      <c r="OF81" s="834"/>
      <c r="OG81" s="834"/>
      <c r="OH81" s="834"/>
      <c r="OI81" s="834"/>
      <c r="OJ81" s="834"/>
      <c r="OK81" s="834"/>
      <c r="OL81" s="834"/>
      <c r="OM81" s="834"/>
      <c r="ON81" s="834"/>
      <c r="OO81" s="834"/>
      <c r="OP81" s="834"/>
      <c r="OQ81" s="834"/>
      <c r="OR81" s="834"/>
      <c r="OS81" s="834"/>
      <c r="OT81" s="834"/>
      <c r="OU81" s="834"/>
      <c r="OV81" s="834"/>
      <c r="OW81" s="834"/>
      <c r="OX81" s="834"/>
      <c r="OY81" s="834"/>
      <c r="OZ81" s="834"/>
      <c r="PA81" s="834"/>
      <c r="PB81" s="834"/>
      <c r="PC81" s="834"/>
      <c r="PD81" s="834"/>
      <c r="PE81" s="834"/>
      <c r="PF81" s="834"/>
      <c r="PG81" s="834"/>
      <c r="PH81" s="834"/>
      <c r="PI81" s="834"/>
      <c r="PJ81" s="834"/>
      <c r="PK81" s="834"/>
      <c r="PL81" s="834"/>
      <c r="PM81" s="834"/>
      <c r="PN81" s="834"/>
      <c r="PO81" s="834"/>
      <c r="PP81" s="834"/>
      <c r="PQ81" s="834"/>
      <c r="PR81" s="834"/>
      <c r="PS81" s="834"/>
      <c r="PT81" s="834"/>
      <c r="PU81" s="834"/>
      <c r="PV81" s="834"/>
      <c r="PW81" s="834"/>
      <c r="PX81" s="834"/>
      <c r="PY81" s="834"/>
      <c r="PZ81" s="834"/>
      <c r="QA81" s="834"/>
      <c r="QB81" s="834"/>
      <c r="QC81" s="834"/>
      <c r="QD81" s="834"/>
      <c r="QE81" s="834"/>
      <c r="QF81" s="834"/>
      <c r="QG81" s="834"/>
      <c r="QH81" s="834"/>
      <c r="QI81" s="834"/>
      <c r="QJ81" s="834"/>
      <c r="QK81" s="834"/>
      <c r="QL81" s="834"/>
      <c r="QM81" s="834"/>
      <c r="QN81" s="834"/>
      <c r="QO81" s="834"/>
      <c r="QP81" s="834"/>
      <c r="QQ81" s="834"/>
      <c r="QR81" s="834"/>
      <c r="QS81" s="834"/>
      <c r="QT81" s="834"/>
      <c r="QU81" s="834"/>
      <c r="QV81" s="834"/>
      <c r="QW81" s="834"/>
      <c r="QX81" s="834"/>
      <c r="QY81" s="834"/>
      <c r="QZ81" s="834"/>
      <c r="RA81" s="834"/>
      <c r="RB81" s="834"/>
      <c r="RC81" s="834"/>
      <c r="RD81" s="834"/>
      <c r="RE81" s="834"/>
      <c r="RF81" s="834"/>
      <c r="RG81" s="834"/>
      <c r="RH81" s="834"/>
      <c r="RI81" s="834"/>
      <c r="RJ81" s="834"/>
      <c r="RK81" s="834"/>
      <c r="RL81" s="834"/>
      <c r="RM81" s="834"/>
      <c r="RN81" s="834"/>
      <c r="RO81" s="834"/>
      <c r="RP81" s="834"/>
      <c r="RQ81" s="834"/>
      <c r="RR81" s="834"/>
      <c r="RS81" s="834"/>
      <c r="RT81" s="834"/>
      <c r="RU81" s="834"/>
      <c r="RV81" s="834"/>
      <c r="RW81" s="834"/>
      <c r="RX81" s="834"/>
      <c r="RY81" s="834"/>
      <c r="RZ81" s="834"/>
      <c r="SA81" s="834"/>
      <c r="SB81" s="834"/>
      <c r="SC81" s="834"/>
      <c r="SD81" s="834"/>
      <c r="SE81" s="834"/>
      <c r="SF81" s="834"/>
      <c r="SG81" s="834"/>
      <c r="SH81" s="834"/>
      <c r="SI81" s="834"/>
      <c r="SJ81" s="834"/>
      <c r="SK81" s="834"/>
      <c r="SL81" s="834"/>
      <c r="SM81" s="834"/>
      <c r="SN81" s="834"/>
      <c r="SO81" s="834"/>
      <c r="SP81" s="834"/>
      <c r="SQ81" s="834"/>
      <c r="SR81" s="834"/>
      <c r="SS81" s="834"/>
      <c r="ST81" s="834"/>
      <c r="SU81" s="834"/>
      <c r="SV81" s="834"/>
      <c r="SW81" s="834"/>
      <c r="SX81" s="834"/>
      <c r="SY81" s="834"/>
      <c r="SZ81" s="834"/>
      <c r="TA81" s="834"/>
      <c r="TB81" s="834"/>
      <c r="TC81" s="834"/>
      <c r="TD81" s="834"/>
      <c r="TE81" s="834"/>
      <c r="TF81" s="834"/>
      <c r="TG81" s="834"/>
      <c r="TH81" s="834"/>
      <c r="TI81" s="834"/>
      <c r="TJ81" s="834"/>
      <c r="TK81" s="834"/>
      <c r="TL81" s="834"/>
      <c r="TM81" s="834"/>
      <c r="TN81" s="834"/>
      <c r="TO81" s="834"/>
      <c r="TP81" s="834"/>
      <c r="TQ81" s="834"/>
      <c r="TR81" s="834"/>
      <c r="TS81" s="834"/>
      <c r="TT81" s="834"/>
      <c r="TU81" s="834"/>
      <c r="TV81" s="834"/>
      <c r="TW81" s="834"/>
      <c r="TX81" s="834"/>
      <c r="TY81" s="834"/>
      <c r="TZ81" s="834"/>
      <c r="UA81" s="834"/>
      <c r="UB81" s="834"/>
      <c r="UC81" s="834"/>
      <c r="UD81" s="834"/>
      <c r="UE81" s="834"/>
      <c r="UF81" s="834"/>
      <c r="UG81" s="834"/>
      <c r="UH81" s="834"/>
      <c r="UI81" s="834"/>
      <c r="UJ81" s="834"/>
      <c r="UK81" s="834"/>
      <c r="UL81" s="834"/>
      <c r="UM81" s="834"/>
      <c r="UN81" s="834"/>
      <c r="UO81" s="834"/>
      <c r="UP81" s="834"/>
      <c r="UQ81" s="834"/>
      <c r="UR81" s="834"/>
      <c r="US81" s="834"/>
      <c r="UT81" s="834"/>
      <c r="UU81" s="834"/>
      <c r="UV81" s="834"/>
      <c r="UW81" s="834"/>
      <c r="UX81" s="834"/>
      <c r="UY81" s="834"/>
      <c r="UZ81" s="834"/>
      <c r="VA81" s="834"/>
      <c r="VB81" s="834"/>
      <c r="VC81" s="834"/>
      <c r="VD81" s="834"/>
      <c r="VE81" s="834"/>
      <c r="VF81" s="834"/>
      <c r="VG81" s="834"/>
      <c r="VH81" s="834"/>
      <c r="VI81" s="834"/>
      <c r="VJ81" s="834"/>
      <c r="VK81" s="834"/>
      <c r="VL81" s="834"/>
      <c r="VM81" s="834"/>
      <c r="VN81" s="834"/>
      <c r="VO81" s="834"/>
      <c r="VP81" s="834"/>
      <c r="VQ81" s="834"/>
      <c r="VR81" s="834"/>
      <c r="VS81" s="834"/>
      <c r="VT81" s="834"/>
      <c r="VU81" s="834"/>
      <c r="VV81" s="834"/>
      <c r="VW81" s="834"/>
      <c r="VX81" s="834"/>
      <c r="VY81" s="834"/>
      <c r="VZ81" s="834"/>
      <c r="WA81" s="834"/>
      <c r="WB81" s="834"/>
      <c r="WC81" s="834"/>
      <c r="WD81" s="834"/>
      <c r="WE81" s="834"/>
      <c r="WF81" s="834"/>
      <c r="WG81" s="834"/>
      <c r="WH81" s="834"/>
      <c r="WI81" s="834"/>
      <c r="WJ81" s="834"/>
      <c r="WK81" s="834"/>
      <c r="WL81" s="834"/>
      <c r="WM81" s="834"/>
      <c r="WN81" s="834"/>
      <c r="WO81" s="834"/>
      <c r="WP81" s="834"/>
      <c r="WQ81" s="834"/>
      <c r="WR81" s="834"/>
      <c r="WS81" s="834"/>
      <c r="WT81" s="834"/>
      <c r="WU81" s="834"/>
      <c r="WV81" s="834"/>
      <c r="WW81" s="834"/>
      <c r="WX81" s="834"/>
      <c r="WY81" s="834"/>
      <c r="WZ81" s="834"/>
      <c r="XA81" s="834"/>
      <c r="XB81" s="834"/>
      <c r="XC81" s="834"/>
      <c r="XD81" s="834"/>
      <c r="XE81" s="834"/>
      <c r="XF81" s="834"/>
      <c r="XG81" s="834"/>
      <c r="XH81" s="834"/>
      <c r="XI81" s="834"/>
      <c r="XJ81" s="834"/>
      <c r="XK81" s="834"/>
      <c r="XL81" s="834"/>
      <c r="XM81" s="834"/>
      <c r="XN81" s="834"/>
      <c r="XO81" s="834"/>
      <c r="XP81" s="834"/>
      <c r="XQ81" s="834"/>
      <c r="XR81" s="834"/>
      <c r="XS81" s="834"/>
      <c r="XT81" s="834"/>
      <c r="XU81" s="834"/>
      <c r="XV81" s="834"/>
      <c r="XW81" s="834"/>
      <c r="XX81" s="834"/>
      <c r="XY81" s="834"/>
      <c r="XZ81" s="834"/>
      <c r="YA81" s="834"/>
      <c r="YB81" s="834"/>
      <c r="YC81" s="834"/>
      <c r="YD81" s="834"/>
      <c r="YE81" s="834"/>
      <c r="YF81" s="834"/>
      <c r="YG81" s="834"/>
      <c r="YH81" s="834"/>
      <c r="YI81" s="834"/>
      <c r="YJ81" s="834"/>
      <c r="YK81" s="834"/>
      <c r="YL81" s="834"/>
      <c r="YM81" s="834"/>
      <c r="YN81" s="834"/>
      <c r="YO81" s="834"/>
      <c r="YP81" s="834"/>
      <c r="YQ81" s="834"/>
      <c r="YR81" s="834"/>
      <c r="YS81" s="834"/>
      <c r="YT81" s="834"/>
      <c r="YU81" s="834"/>
      <c r="YV81" s="834"/>
      <c r="YW81" s="834"/>
      <c r="YX81" s="834"/>
      <c r="YY81" s="834"/>
      <c r="YZ81" s="834"/>
      <c r="ZA81" s="834"/>
      <c r="ZB81" s="834"/>
      <c r="ZC81" s="834"/>
      <c r="ZD81" s="834"/>
      <c r="ZE81" s="834"/>
      <c r="ZF81" s="834"/>
      <c r="ZG81" s="834"/>
      <c r="ZH81" s="834"/>
      <c r="ZI81" s="834"/>
      <c r="ZJ81" s="834"/>
      <c r="ZK81" s="834"/>
      <c r="ZL81" s="834"/>
      <c r="ZM81" s="834"/>
      <c r="ZN81" s="834"/>
      <c r="ZO81" s="834"/>
      <c r="ZP81" s="834"/>
      <c r="ZQ81" s="834"/>
      <c r="ZR81" s="834"/>
      <c r="ZS81" s="834"/>
      <c r="ZT81" s="834"/>
      <c r="ZU81" s="834"/>
      <c r="ZV81" s="834"/>
      <c r="ZW81" s="834"/>
      <c r="ZX81" s="834"/>
      <c r="ZY81" s="834"/>
      <c r="ZZ81" s="834"/>
      <c r="AAA81" s="834"/>
      <c r="AAB81" s="834"/>
      <c r="AAC81" s="834"/>
      <c r="AAD81" s="834"/>
      <c r="AAE81" s="834"/>
      <c r="AAF81" s="834"/>
      <c r="AAG81" s="834"/>
      <c r="AAH81" s="834"/>
      <c r="AAI81" s="834"/>
      <c r="AAJ81" s="834"/>
      <c r="AAK81" s="834"/>
      <c r="AAL81" s="834"/>
      <c r="AAM81" s="834"/>
      <c r="AAN81" s="834"/>
      <c r="AAO81" s="834"/>
      <c r="AAP81" s="834"/>
      <c r="AAQ81" s="834"/>
      <c r="AAR81" s="834"/>
      <c r="AAS81" s="834"/>
      <c r="AAT81" s="834"/>
      <c r="AAU81" s="834"/>
      <c r="AAV81" s="834"/>
      <c r="AAW81" s="834"/>
      <c r="AAX81" s="834"/>
      <c r="AAY81" s="834"/>
      <c r="AAZ81" s="834"/>
      <c r="ABA81" s="834"/>
      <c r="ABB81" s="834"/>
      <c r="ABC81" s="834"/>
      <c r="ABD81" s="834"/>
      <c r="ABE81" s="834"/>
      <c r="ABF81" s="834"/>
      <c r="ABG81" s="834"/>
      <c r="ABH81" s="834"/>
      <c r="ABI81" s="834"/>
      <c r="ABJ81" s="834"/>
      <c r="ABK81" s="834"/>
      <c r="ABL81" s="834"/>
      <c r="ABM81" s="834"/>
      <c r="ABN81" s="834"/>
      <c r="ABO81" s="834"/>
      <c r="ABP81" s="834"/>
      <c r="ABQ81" s="834"/>
      <c r="ABR81" s="834"/>
      <c r="ABS81" s="834"/>
      <c r="ABT81" s="834"/>
      <c r="ABU81" s="834"/>
      <c r="ABV81" s="834"/>
      <c r="ABW81" s="834"/>
      <c r="ABX81" s="834"/>
      <c r="ABY81" s="834"/>
      <c r="ABZ81" s="834"/>
      <c r="ACA81" s="834"/>
      <c r="ACB81" s="834"/>
      <c r="ACC81" s="834"/>
      <c r="ACD81" s="834"/>
      <c r="ACE81" s="834"/>
      <c r="ACF81" s="834"/>
      <c r="ACG81" s="834"/>
      <c r="ACH81" s="834"/>
      <c r="ACI81" s="834"/>
      <c r="ACJ81" s="834"/>
      <c r="ACK81" s="834"/>
      <c r="ACL81" s="834"/>
      <c r="ACM81" s="834"/>
      <c r="ACN81" s="834"/>
      <c r="ACO81" s="834"/>
      <c r="ACP81" s="834"/>
      <c r="ACQ81" s="834"/>
      <c r="ACR81" s="834"/>
      <c r="ACS81" s="834"/>
      <c r="ACT81" s="834"/>
      <c r="ACU81" s="834"/>
      <c r="ACV81" s="834"/>
      <c r="ACW81" s="834"/>
      <c r="ACX81" s="834"/>
      <c r="ACY81" s="834"/>
      <c r="ACZ81" s="834"/>
      <c r="ADA81" s="834"/>
      <c r="ADB81" s="834"/>
      <c r="ADC81" s="834"/>
      <c r="ADD81" s="834"/>
      <c r="ADE81" s="834"/>
      <c r="ADF81" s="834"/>
      <c r="ADG81" s="834"/>
      <c r="ADH81" s="834"/>
      <c r="ADI81" s="834"/>
      <c r="ADJ81" s="834"/>
      <c r="ADK81" s="834"/>
      <c r="ADL81" s="834"/>
      <c r="ADM81" s="834"/>
      <c r="ADN81" s="834"/>
      <c r="ADO81" s="834"/>
      <c r="ADP81" s="834"/>
      <c r="ADQ81" s="834"/>
      <c r="ADR81" s="834"/>
      <c r="ADS81" s="834"/>
      <c r="ADT81" s="834"/>
      <c r="ADU81" s="834"/>
      <c r="ADV81" s="834"/>
      <c r="ADW81" s="834"/>
      <c r="ADX81" s="834"/>
      <c r="ADY81" s="834"/>
      <c r="ADZ81" s="834"/>
      <c r="AEA81" s="834"/>
      <c r="AEB81" s="834"/>
      <c r="AEC81" s="834"/>
      <c r="AED81" s="834"/>
      <c r="AEE81" s="834"/>
      <c r="AEF81" s="834"/>
      <c r="AEG81" s="834"/>
      <c r="AEH81" s="834"/>
      <c r="AEI81" s="834"/>
      <c r="AEJ81" s="834"/>
      <c r="AEK81" s="834"/>
      <c r="AEL81" s="834"/>
      <c r="AEM81" s="834"/>
      <c r="AEN81" s="834"/>
      <c r="AEO81" s="834"/>
      <c r="AEP81" s="834"/>
      <c r="AEQ81" s="834"/>
      <c r="AER81" s="834"/>
      <c r="AES81" s="834"/>
      <c r="AET81" s="834"/>
      <c r="AEU81" s="834"/>
      <c r="AEV81" s="834"/>
      <c r="AEW81" s="834"/>
      <c r="AEX81" s="834"/>
      <c r="AEY81" s="834"/>
      <c r="AEZ81" s="834"/>
      <c r="AFA81" s="834"/>
      <c r="AFB81" s="834"/>
      <c r="AFC81" s="834"/>
      <c r="AFD81" s="834"/>
      <c r="AFE81" s="834"/>
      <c r="AFF81" s="834"/>
      <c r="AFG81" s="834"/>
      <c r="AFH81" s="834"/>
      <c r="AFI81" s="834"/>
      <c r="AFJ81" s="834"/>
      <c r="AFK81" s="834"/>
      <c r="AFL81" s="834"/>
      <c r="AFM81" s="834"/>
      <c r="AFN81" s="834"/>
      <c r="AFO81" s="834"/>
      <c r="AFP81" s="834"/>
      <c r="AFQ81" s="834"/>
      <c r="AFR81" s="834"/>
      <c r="AFS81" s="834"/>
      <c r="AFT81" s="834"/>
      <c r="AFU81" s="834"/>
      <c r="AFV81" s="834"/>
      <c r="AFW81" s="834"/>
      <c r="AFX81" s="834"/>
      <c r="AFY81" s="834"/>
      <c r="AFZ81" s="834"/>
      <c r="AGA81" s="834"/>
      <c r="AGB81" s="834"/>
      <c r="AGC81" s="834"/>
      <c r="AGD81" s="834"/>
      <c r="AGE81" s="834"/>
      <c r="AGF81" s="834"/>
      <c r="AGG81" s="834"/>
      <c r="AGH81" s="834"/>
      <c r="AGI81" s="834"/>
      <c r="AGJ81" s="834"/>
      <c r="AGK81" s="834"/>
      <c r="AGL81" s="834"/>
      <c r="AGM81" s="834"/>
      <c r="AGN81" s="834"/>
      <c r="AGO81" s="834"/>
      <c r="AGP81" s="834"/>
      <c r="AGQ81" s="834"/>
      <c r="AGR81" s="834"/>
      <c r="AGS81" s="834"/>
      <c r="AGT81" s="834"/>
      <c r="AGU81" s="834"/>
      <c r="AGV81" s="834"/>
      <c r="AGW81" s="834"/>
      <c r="AGX81" s="834"/>
      <c r="AGY81" s="834"/>
      <c r="AGZ81" s="834"/>
      <c r="AHA81" s="834"/>
      <c r="AHB81" s="834"/>
      <c r="AHC81" s="834"/>
      <c r="AHD81" s="834"/>
      <c r="AHE81" s="834"/>
      <c r="AHF81" s="834"/>
      <c r="AHG81" s="834"/>
      <c r="AHH81" s="834"/>
      <c r="AHI81" s="834"/>
      <c r="AHJ81" s="834"/>
      <c r="AHK81" s="834"/>
      <c r="AHL81" s="834"/>
      <c r="AHM81" s="834"/>
      <c r="AHN81" s="834"/>
      <c r="AHO81" s="834"/>
      <c r="AHP81" s="834"/>
      <c r="AHQ81" s="834"/>
      <c r="AHR81" s="834"/>
      <c r="AHS81" s="834"/>
      <c r="AHT81" s="834"/>
      <c r="AHU81" s="834"/>
      <c r="AHV81" s="834"/>
      <c r="AHW81" s="834"/>
      <c r="AHX81" s="834"/>
      <c r="AHY81" s="834"/>
      <c r="AHZ81" s="834"/>
      <c r="AIA81" s="834"/>
      <c r="AIB81" s="834"/>
      <c r="AIC81" s="834"/>
      <c r="AID81" s="834"/>
      <c r="AIE81" s="834"/>
      <c r="AIF81" s="834"/>
      <c r="AIG81" s="834"/>
      <c r="AIH81" s="834"/>
      <c r="AII81" s="834"/>
      <c r="AIJ81" s="834"/>
      <c r="AIK81" s="834"/>
      <c r="AIL81" s="834"/>
      <c r="AIM81" s="834"/>
      <c r="AIN81" s="834"/>
      <c r="AIO81" s="834"/>
      <c r="AIP81" s="834"/>
      <c r="AIQ81" s="834"/>
      <c r="AIR81" s="834"/>
      <c r="AIS81" s="834"/>
      <c r="AIT81" s="834"/>
      <c r="AIU81" s="834"/>
      <c r="AIV81" s="834"/>
      <c r="AIW81" s="834"/>
      <c r="AIX81" s="834"/>
      <c r="AIY81" s="834"/>
      <c r="AIZ81" s="834"/>
      <c r="AJA81" s="834"/>
      <c r="AJB81" s="834"/>
      <c r="AJC81" s="834"/>
      <c r="AJD81" s="834"/>
      <c r="AJE81" s="834"/>
      <c r="AJF81" s="834"/>
      <c r="AJG81" s="834"/>
      <c r="AJH81" s="834"/>
      <c r="AJI81" s="834"/>
      <c r="AJJ81" s="834"/>
      <c r="AJK81" s="834"/>
      <c r="AJL81" s="834"/>
      <c r="AJM81" s="834"/>
      <c r="AJN81" s="834"/>
      <c r="AJO81" s="834"/>
      <c r="AJP81" s="834"/>
      <c r="AJQ81" s="834"/>
      <c r="AJR81" s="834"/>
      <c r="AJS81" s="834"/>
      <c r="AJT81" s="834"/>
      <c r="AJU81" s="834"/>
      <c r="AJV81" s="834"/>
      <c r="AJW81" s="834"/>
      <c r="AJX81" s="834"/>
      <c r="AJY81" s="834"/>
      <c r="AJZ81" s="834"/>
      <c r="AKA81" s="834"/>
      <c r="AKB81" s="834"/>
      <c r="AKC81" s="834"/>
      <c r="AKD81" s="834"/>
      <c r="AKE81" s="834"/>
      <c r="AKF81" s="834"/>
      <c r="AKG81" s="834"/>
      <c r="AKH81" s="834"/>
      <c r="AKI81" s="834"/>
      <c r="AKJ81" s="834"/>
      <c r="AKK81" s="834"/>
      <c r="AKL81" s="834"/>
      <c r="AKM81" s="834"/>
      <c r="AKN81" s="834"/>
      <c r="AKO81" s="834"/>
      <c r="AKP81" s="834"/>
      <c r="AKQ81" s="834"/>
      <c r="AKR81" s="834"/>
      <c r="AKS81" s="834"/>
      <c r="AKT81" s="834"/>
      <c r="AKU81" s="834"/>
      <c r="AKV81" s="834"/>
      <c r="AKW81" s="834"/>
      <c r="AKX81" s="834"/>
      <c r="AKY81" s="834"/>
      <c r="AKZ81" s="834"/>
      <c r="ALA81" s="834"/>
      <c r="ALB81" s="834"/>
      <c r="ALC81" s="834"/>
      <c r="ALD81" s="834"/>
      <c r="ALE81" s="834"/>
      <c r="ALF81" s="834"/>
      <c r="ALG81" s="834"/>
      <c r="ALH81" s="834"/>
      <c r="ALI81" s="834"/>
      <c r="ALJ81" s="834"/>
      <c r="ALK81" s="834"/>
      <c r="ALL81" s="834"/>
      <c r="ALM81" s="834"/>
      <c r="ALN81" s="834"/>
      <c r="ALO81" s="834"/>
      <c r="ALP81" s="834"/>
      <c r="ALQ81" s="834"/>
      <c r="ALR81" s="834"/>
      <c r="ALS81" s="834"/>
      <c r="ALT81" s="834"/>
      <c r="ALU81" s="834"/>
      <c r="ALV81" s="834"/>
      <c r="ALW81" s="834"/>
      <c r="ALX81" s="834"/>
      <c r="ALY81" s="834"/>
      <c r="ALZ81" s="834"/>
      <c r="AMA81" s="834"/>
      <c r="AMB81" s="834"/>
      <c r="AMC81" s="834"/>
      <c r="AMD81" s="834"/>
      <c r="AME81" s="834"/>
      <c r="AMF81" s="834"/>
      <c r="AMG81" s="834"/>
      <c r="AMH81" s="834"/>
      <c r="AMI81" s="834"/>
      <c r="AMJ81" s="834"/>
      <c r="AMK81" s="834"/>
      <c r="AML81" s="834"/>
    </row>
    <row r="82" spans="1:1026" ht="40.5" customHeight="1">
      <c r="A82" s="844"/>
      <c r="B82" s="891" t="s">
        <v>185</v>
      </c>
      <c r="C82" s="891" t="s">
        <v>186</v>
      </c>
      <c r="D82" s="450" t="s">
        <v>187</v>
      </c>
      <c r="E82" s="444" t="s">
        <v>27</v>
      </c>
      <c r="F82" s="881">
        <f>(Esquadrias!H30*Esquadrias!K30)+(Esquadrias!H32*Esquadrias!K32)+(Esquadrias!H35*Esquadrias!K35)+(Esquadrias!H40*Esquadrias!K40)</f>
        <v>36.839999999999996</v>
      </c>
      <c r="G82" s="893">
        <f>K82</f>
        <v>910.76</v>
      </c>
      <c r="H82" s="883">
        <f>F82*G82</f>
        <v>33552.398399999998</v>
      </c>
      <c r="I82" s="844"/>
      <c r="J82" s="841">
        <v>719.34</v>
      </c>
      <c r="K82" s="842">
        <f t="shared" si="2"/>
        <v>910.76</v>
      </c>
    </row>
    <row r="83" spans="1:1026" s="388" customFormat="1" ht="33.75" customHeight="1">
      <c r="A83" s="885"/>
      <c r="B83" s="891" t="s">
        <v>188</v>
      </c>
      <c r="C83" s="886" t="s">
        <v>189</v>
      </c>
      <c r="D83" s="451" t="s">
        <v>190</v>
      </c>
      <c r="E83" s="449" t="s">
        <v>27</v>
      </c>
      <c r="F83" s="887">
        <f>(Esquadrias!H37*Esquadrias!K37)+(Esquadrias!H39*Esquadrias!K39)</f>
        <v>29.25</v>
      </c>
      <c r="G83" s="925">
        <f>K83</f>
        <v>826.27</v>
      </c>
      <c r="H83" s="889">
        <f t="shared" ref="H83:H93" si="7">F83*G83</f>
        <v>24168.397499999999</v>
      </c>
      <c r="I83" s="885"/>
      <c r="J83" s="915">
        <v>652.61</v>
      </c>
      <c r="K83" s="916">
        <f t="shared" si="2"/>
        <v>826.27</v>
      </c>
      <c r="L83" s="832"/>
      <c r="M83" s="832"/>
      <c r="N83" s="832"/>
      <c r="O83" s="832"/>
      <c r="P83" s="832"/>
      <c r="Q83" s="832"/>
      <c r="R83" s="832"/>
      <c r="S83" s="832"/>
      <c r="T83" s="832"/>
      <c r="U83" s="832"/>
      <c r="V83" s="832"/>
      <c r="W83" s="832"/>
      <c r="X83" s="832"/>
      <c r="Y83" s="832"/>
      <c r="Z83" s="832"/>
      <c r="AA83" s="832"/>
      <c r="AB83" s="832"/>
      <c r="AC83" s="832"/>
      <c r="AD83" s="832"/>
      <c r="AE83" s="832"/>
      <c r="AF83" s="832"/>
      <c r="AG83" s="832"/>
      <c r="AH83" s="832"/>
      <c r="AI83" s="832"/>
      <c r="AJ83" s="832"/>
      <c r="AK83" s="832"/>
      <c r="AL83" s="832"/>
      <c r="AM83" s="832"/>
      <c r="AN83" s="832"/>
      <c r="AO83" s="832"/>
      <c r="AP83" s="832"/>
      <c r="AQ83" s="832"/>
      <c r="AR83" s="832"/>
      <c r="AS83" s="832"/>
      <c r="AT83" s="832"/>
      <c r="AU83" s="832"/>
      <c r="AV83" s="832"/>
      <c r="AW83" s="832"/>
      <c r="AX83" s="832"/>
      <c r="AY83" s="832"/>
      <c r="AZ83" s="832"/>
      <c r="BA83" s="832"/>
      <c r="BB83" s="832"/>
      <c r="BC83" s="832"/>
      <c r="BD83" s="832"/>
      <c r="BE83" s="832"/>
      <c r="BF83" s="832"/>
      <c r="BG83" s="832"/>
      <c r="BH83" s="832"/>
      <c r="BI83" s="832"/>
      <c r="BJ83" s="832"/>
      <c r="BK83" s="832"/>
      <c r="BL83" s="832"/>
      <c r="BM83" s="832"/>
      <c r="BN83" s="832"/>
      <c r="BO83" s="832"/>
      <c r="BP83" s="832"/>
      <c r="BQ83" s="832"/>
      <c r="BR83" s="832"/>
      <c r="BS83" s="832"/>
      <c r="BT83" s="832"/>
      <c r="BU83" s="832"/>
      <c r="BV83" s="832"/>
      <c r="BW83" s="832"/>
      <c r="BX83" s="832"/>
      <c r="BY83" s="832"/>
      <c r="BZ83" s="832"/>
      <c r="CA83" s="832"/>
      <c r="CB83" s="832"/>
      <c r="CC83" s="832"/>
      <c r="CD83" s="832"/>
      <c r="CE83" s="832"/>
      <c r="CF83" s="832"/>
      <c r="CG83" s="832"/>
      <c r="CH83" s="832"/>
      <c r="CI83" s="832"/>
      <c r="CJ83" s="832"/>
      <c r="CK83" s="832"/>
      <c r="CL83" s="832"/>
      <c r="CM83" s="832"/>
      <c r="CN83" s="832"/>
      <c r="CO83" s="832"/>
      <c r="CP83" s="832"/>
      <c r="CQ83" s="832"/>
      <c r="CR83" s="832"/>
      <c r="CS83" s="832"/>
      <c r="CT83" s="832"/>
      <c r="CU83" s="832"/>
      <c r="CV83" s="832"/>
      <c r="CW83" s="832"/>
      <c r="CX83" s="832"/>
      <c r="CY83" s="832"/>
      <c r="CZ83" s="832"/>
      <c r="DA83" s="832"/>
      <c r="DB83" s="832"/>
      <c r="DC83" s="832"/>
      <c r="DD83" s="832"/>
      <c r="DE83" s="832"/>
      <c r="DF83" s="832"/>
      <c r="DG83" s="832"/>
      <c r="DH83" s="832"/>
      <c r="DI83" s="832"/>
      <c r="DJ83" s="832"/>
      <c r="DK83" s="832"/>
      <c r="DL83" s="832"/>
      <c r="DM83" s="832"/>
      <c r="DN83" s="832"/>
      <c r="DO83" s="832"/>
      <c r="DP83" s="832"/>
      <c r="DQ83" s="832"/>
      <c r="DR83" s="832"/>
      <c r="DS83" s="832"/>
      <c r="DT83" s="832"/>
      <c r="DU83" s="832"/>
      <c r="DV83" s="832"/>
      <c r="DW83" s="832"/>
      <c r="DX83" s="832"/>
      <c r="DY83" s="832"/>
      <c r="DZ83" s="832"/>
      <c r="EA83" s="832"/>
      <c r="EB83" s="832"/>
      <c r="EC83" s="832"/>
      <c r="ED83" s="832"/>
      <c r="EE83" s="832"/>
      <c r="EF83" s="832"/>
      <c r="EG83" s="832"/>
      <c r="EH83" s="832"/>
      <c r="EI83" s="832"/>
      <c r="EJ83" s="832"/>
      <c r="EK83" s="832"/>
      <c r="EL83" s="832"/>
      <c r="EM83" s="832"/>
      <c r="EN83" s="832"/>
      <c r="EO83" s="832"/>
      <c r="EP83" s="832"/>
      <c r="EQ83" s="832"/>
      <c r="ER83" s="832"/>
      <c r="ES83" s="832"/>
      <c r="ET83" s="832"/>
      <c r="EU83" s="832"/>
      <c r="EV83" s="832"/>
      <c r="EW83" s="832"/>
      <c r="EX83" s="832"/>
      <c r="EY83" s="832"/>
      <c r="EZ83" s="832"/>
      <c r="FA83" s="832"/>
      <c r="FB83" s="832"/>
      <c r="FC83" s="832"/>
      <c r="FD83" s="832"/>
      <c r="FE83" s="832"/>
      <c r="FF83" s="832"/>
      <c r="FG83" s="832"/>
      <c r="FH83" s="832"/>
      <c r="FI83" s="832"/>
      <c r="FJ83" s="832"/>
      <c r="FK83" s="832"/>
      <c r="FL83" s="832"/>
      <c r="FM83" s="832"/>
      <c r="FN83" s="832"/>
      <c r="FO83" s="832"/>
      <c r="FP83" s="832"/>
      <c r="FQ83" s="832"/>
      <c r="FR83" s="832"/>
      <c r="FS83" s="832"/>
      <c r="FT83" s="832"/>
      <c r="FU83" s="832"/>
      <c r="FV83" s="832"/>
      <c r="FW83" s="832"/>
      <c r="FX83" s="832"/>
      <c r="FY83" s="832"/>
      <c r="FZ83" s="832"/>
      <c r="GA83" s="832"/>
      <c r="GB83" s="832"/>
      <c r="GC83" s="832"/>
      <c r="GD83" s="832"/>
      <c r="GE83" s="832"/>
      <c r="GF83" s="832"/>
      <c r="GG83" s="832"/>
      <c r="GH83" s="832"/>
      <c r="GI83" s="832"/>
      <c r="GJ83" s="832"/>
      <c r="GK83" s="832"/>
      <c r="GL83" s="832"/>
      <c r="GM83" s="832"/>
      <c r="GN83" s="832"/>
      <c r="GO83" s="832"/>
      <c r="GP83" s="832"/>
      <c r="GQ83" s="832"/>
      <c r="GR83" s="832"/>
      <c r="GS83" s="832"/>
      <c r="GT83" s="832"/>
      <c r="GU83" s="832"/>
      <c r="GV83" s="832"/>
      <c r="GW83" s="832"/>
      <c r="GX83" s="832"/>
      <c r="GY83" s="832"/>
      <c r="GZ83" s="832"/>
      <c r="HA83" s="832"/>
      <c r="HB83" s="832"/>
      <c r="HC83" s="832"/>
      <c r="HD83" s="832"/>
      <c r="HE83" s="832"/>
      <c r="HF83" s="832"/>
      <c r="HG83" s="832"/>
      <c r="HH83" s="832"/>
      <c r="HI83" s="832"/>
      <c r="HJ83" s="832"/>
      <c r="HK83" s="832"/>
      <c r="HL83" s="832"/>
      <c r="HM83" s="832"/>
      <c r="HN83" s="832"/>
      <c r="HO83" s="832"/>
      <c r="HP83" s="832"/>
      <c r="HQ83" s="832"/>
      <c r="HR83" s="832"/>
      <c r="HS83" s="832"/>
      <c r="HT83" s="832"/>
      <c r="HU83" s="832"/>
      <c r="HV83" s="832"/>
      <c r="HW83" s="832"/>
      <c r="HX83" s="832"/>
      <c r="HY83" s="832"/>
      <c r="HZ83" s="832"/>
      <c r="IA83" s="832"/>
      <c r="IB83" s="832"/>
      <c r="IC83" s="832"/>
      <c r="ID83" s="832"/>
      <c r="IE83" s="832"/>
      <c r="IF83" s="832"/>
      <c r="IG83" s="832"/>
      <c r="IH83" s="832"/>
      <c r="II83" s="832"/>
      <c r="IJ83" s="832"/>
      <c r="IK83" s="832"/>
      <c r="IL83" s="832"/>
      <c r="IM83" s="832"/>
      <c r="IN83" s="832"/>
      <c r="IO83" s="832"/>
      <c r="IP83" s="832"/>
      <c r="IQ83" s="832"/>
      <c r="IR83" s="832"/>
      <c r="IS83" s="832"/>
      <c r="IT83" s="832"/>
      <c r="IU83" s="832"/>
      <c r="IV83" s="832"/>
      <c r="IW83" s="832"/>
      <c r="IX83" s="832"/>
      <c r="IY83" s="832"/>
      <c r="IZ83" s="832"/>
      <c r="JA83" s="832"/>
      <c r="JB83" s="832"/>
      <c r="JC83" s="832"/>
      <c r="JD83" s="832"/>
      <c r="JE83" s="832"/>
      <c r="JF83" s="832"/>
      <c r="JG83" s="832"/>
      <c r="JH83" s="832"/>
      <c r="JI83" s="832"/>
      <c r="JJ83" s="832"/>
      <c r="JK83" s="832"/>
      <c r="JL83" s="832"/>
      <c r="JM83" s="832"/>
      <c r="JN83" s="832"/>
      <c r="JO83" s="832"/>
      <c r="JP83" s="832"/>
      <c r="JQ83" s="832"/>
      <c r="JR83" s="832"/>
      <c r="JS83" s="832"/>
      <c r="JT83" s="832"/>
      <c r="JU83" s="832"/>
      <c r="JV83" s="832"/>
      <c r="JW83" s="832"/>
      <c r="JX83" s="832"/>
      <c r="JY83" s="832"/>
      <c r="JZ83" s="832"/>
      <c r="KA83" s="832"/>
      <c r="KB83" s="832"/>
      <c r="KC83" s="832"/>
      <c r="KD83" s="832"/>
      <c r="KE83" s="832"/>
      <c r="KF83" s="832"/>
      <c r="KG83" s="832"/>
      <c r="KH83" s="832"/>
      <c r="KI83" s="832"/>
      <c r="KJ83" s="832"/>
      <c r="KK83" s="832"/>
      <c r="KL83" s="832"/>
      <c r="KM83" s="832"/>
      <c r="KN83" s="832"/>
      <c r="KO83" s="832"/>
      <c r="KP83" s="832"/>
      <c r="KQ83" s="832"/>
      <c r="KR83" s="832"/>
      <c r="KS83" s="832"/>
      <c r="KT83" s="832"/>
      <c r="KU83" s="832"/>
      <c r="KV83" s="832"/>
      <c r="KW83" s="832"/>
      <c r="KX83" s="832"/>
      <c r="KY83" s="832"/>
      <c r="KZ83" s="832"/>
      <c r="LA83" s="832"/>
      <c r="LB83" s="832"/>
      <c r="LC83" s="832"/>
      <c r="LD83" s="832"/>
      <c r="LE83" s="832"/>
      <c r="LF83" s="832"/>
      <c r="LG83" s="832"/>
      <c r="LH83" s="832"/>
      <c r="LI83" s="832"/>
      <c r="LJ83" s="832"/>
      <c r="LK83" s="832"/>
      <c r="LL83" s="832"/>
      <c r="LM83" s="832"/>
      <c r="LN83" s="832"/>
      <c r="LO83" s="832"/>
      <c r="LP83" s="832"/>
      <c r="LQ83" s="832"/>
      <c r="LR83" s="832"/>
      <c r="LS83" s="832"/>
      <c r="LT83" s="832"/>
      <c r="LU83" s="832"/>
      <c r="LV83" s="832"/>
      <c r="LW83" s="832"/>
      <c r="LX83" s="832"/>
      <c r="LY83" s="832"/>
      <c r="LZ83" s="832"/>
      <c r="MA83" s="832"/>
      <c r="MB83" s="832"/>
      <c r="MC83" s="832"/>
      <c r="MD83" s="832"/>
      <c r="ME83" s="832"/>
      <c r="MF83" s="832"/>
      <c r="MG83" s="832"/>
      <c r="MH83" s="832"/>
      <c r="MI83" s="832"/>
      <c r="MJ83" s="832"/>
      <c r="MK83" s="832"/>
      <c r="ML83" s="832"/>
      <c r="MM83" s="832"/>
      <c r="MN83" s="832"/>
      <c r="MO83" s="832"/>
      <c r="MP83" s="832"/>
      <c r="MQ83" s="832"/>
      <c r="MR83" s="832"/>
      <c r="MS83" s="832"/>
      <c r="MT83" s="832"/>
      <c r="MU83" s="832"/>
      <c r="MV83" s="832"/>
      <c r="MW83" s="832"/>
      <c r="MX83" s="832"/>
      <c r="MY83" s="832"/>
      <c r="MZ83" s="832"/>
      <c r="NA83" s="832"/>
      <c r="NB83" s="832"/>
      <c r="NC83" s="832"/>
      <c r="ND83" s="832"/>
      <c r="NE83" s="832"/>
      <c r="NF83" s="832"/>
      <c r="NG83" s="832"/>
      <c r="NH83" s="832"/>
      <c r="NI83" s="832"/>
      <c r="NJ83" s="832"/>
      <c r="NK83" s="832"/>
      <c r="NL83" s="832"/>
      <c r="NM83" s="832"/>
      <c r="NN83" s="832"/>
      <c r="NO83" s="832"/>
      <c r="NP83" s="832"/>
      <c r="NQ83" s="832"/>
      <c r="NR83" s="832"/>
      <c r="NS83" s="832"/>
      <c r="NT83" s="832"/>
      <c r="NU83" s="832"/>
      <c r="NV83" s="832"/>
      <c r="NW83" s="832"/>
      <c r="NX83" s="832"/>
      <c r="NY83" s="832"/>
      <c r="NZ83" s="832"/>
      <c r="OA83" s="832"/>
      <c r="OB83" s="832"/>
      <c r="OC83" s="832"/>
      <c r="OD83" s="832"/>
      <c r="OE83" s="832"/>
      <c r="OF83" s="832"/>
      <c r="OG83" s="832"/>
      <c r="OH83" s="832"/>
      <c r="OI83" s="832"/>
      <c r="OJ83" s="832"/>
      <c r="OK83" s="832"/>
      <c r="OL83" s="832"/>
      <c r="OM83" s="832"/>
      <c r="ON83" s="832"/>
      <c r="OO83" s="832"/>
      <c r="OP83" s="832"/>
      <c r="OQ83" s="832"/>
      <c r="OR83" s="832"/>
      <c r="OS83" s="832"/>
      <c r="OT83" s="832"/>
      <c r="OU83" s="832"/>
      <c r="OV83" s="832"/>
      <c r="OW83" s="832"/>
      <c r="OX83" s="832"/>
      <c r="OY83" s="832"/>
      <c r="OZ83" s="832"/>
      <c r="PA83" s="832"/>
      <c r="PB83" s="832"/>
      <c r="PC83" s="832"/>
      <c r="PD83" s="832"/>
      <c r="PE83" s="832"/>
      <c r="PF83" s="832"/>
      <c r="PG83" s="832"/>
      <c r="PH83" s="832"/>
      <c r="PI83" s="832"/>
      <c r="PJ83" s="832"/>
      <c r="PK83" s="832"/>
      <c r="PL83" s="832"/>
      <c r="PM83" s="832"/>
      <c r="PN83" s="832"/>
      <c r="PO83" s="832"/>
      <c r="PP83" s="832"/>
      <c r="PQ83" s="832"/>
      <c r="PR83" s="832"/>
      <c r="PS83" s="832"/>
      <c r="PT83" s="832"/>
      <c r="PU83" s="832"/>
      <c r="PV83" s="832"/>
      <c r="PW83" s="832"/>
      <c r="PX83" s="832"/>
      <c r="PY83" s="832"/>
      <c r="PZ83" s="832"/>
      <c r="QA83" s="832"/>
      <c r="QB83" s="832"/>
      <c r="QC83" s="832"/>
      <c r="QD83" s="832"/>
      <c r="QE83" s="832"/>
      <c r="QF83" s="832"/>
      <c r="QG83" s="832"/>
      <c r="QH83" s="832"/>
      <c r="QI83" s="832"/>
      <c r="QJ83" s="832"/>
      <c r="QK83" s="832"/>
      <c r="QL83" s="832"/>
      <c r="QM83" s="832"/>
      <c r="QN83" s="832"/>
      <c r="QO83" s="832"/>
      <c r="QP83" s="832"/>
      <c r="QQ83" s="832"/>
      <c r="QR83" s="832"/>
      <c r="QS83" s="832"/>
      <c r="QT83" s="832"/>
      <c r="QU83" s="832"/>
      <c r="QV83" s="832"/>
      <c r="QW83" s="832"/>
      <c r="QX83" s="832"/>
      <c r="QY83" s="832"/>
      <c r="QZ83" s="832"/>
      <c r="RA83" s="832"/>
      <c r="RB83" s="832"/>
      <c r="RC83" s="832"/>
      <c r="RD83" s="832"/>
      <c r="RE83" s="832"/>
      <c r="RF83" s="832"/>
      <c r="RG83" s="832"/>
      <c r="RH83" s="832"/>
      <c r="RI83" s="832"/>
      <c r="RJ83" s="832"/>
      <c r="RK83" s="832"/>
      <c r="RL83" s="832"/>
      <c r="RM83" s="832"/>
      <c r="RN83" s="832"/>
      <c r="RO83" s="832"/>
      <c r="RP83" s="832"/>
      <c r="RQ83" s="832"/>
      <c r="RR83" s="832"/>
      <c r="RS83" s="832"/>
      <c r="RT83" s="832"/>
      <c r="RU83" s="832"/>
      <c r="RV83" s="832"/>
      <c r="RW83" s="832"/>
      <c r="RX83" s="832"/>
      <c r="RY83" s="832"/>
      <c r="RZ83" s="832"/>
      <c r="SA83" s="832"/>
      <c r="SB83" s="832"/>
      <c r="SC83" s="832"/>
      <c r="SD83" s="832"/>
      <c r="SE83" s="832"/>
      <c r="SF83" s="832"/>
      <c r="SG83" s="832"/>
      <c r="SH83" s="832"/>
      <c r="SI83" s="832"/>
      <c r="SJ83" s="832"/>
      <c r="SK83" s="832"/>
      <c r="SL83" s="832"/>
      <c r="SM83" s="832"/>
      <c r="SN83" s="832"/>
      <c r="SO83" s="832"/>
      <c r="SP83" s="832"/>
      <c r="SQ83" s="832"/>
      <c r="SR83" s="832"/>
      <c r="SS83" s="832"/>
      <c r="ST83" s="832"/>
      <c r="SU83" s="832"/>
      <c r="SV83" s="832"/>
      <c r="SW83" s="832"/>
      <c r="SX83" s="832"/>
      <c r="SY83" s="832"/>
      <c r="SZ83" s="832"/>
      <c r="TA83" s="832"/>
      <c r="TB83" s="832"/>
      <c r="TC83" s="832"/>
      <c r="TD83" s="832"/>
      <c r="TE83" s="832"/>
      <c r="TF83" s="832"/>
      <c r="TG83" s="832"/>
      <c r="TH83" s="832"/>
      <c r="TI83" s="832"/>
      <c r="TJ83" s="832"/>
      <c r="TK83" s="832"/>
      <c r="TL83" s="832"/>
      <c r="TM83" s="832"/>
      <c r="TN83" s="832"/>
      <c r="TO83" s="832"/>
      <c r="TP83" s="832"/>
      <c r="TQ83" s="832"/>
      <c r="TR83" s="832"/>
      <c r="TS83" s="832"/>
      <c r="TT83" s="832"/>
      <c r="TU83" s="832"/>
      <c r="TV83" s="832"/>
      <c r="TW83" s="832"/>
      <c r="TX83" s="832"/>
      <c r="TY83" s="832"/>
      <c r="TZ83" s="832"/>
      <c r="UA83" s="832"/>
      <c r="UB83" s="832"/>
      <c r="UC83" s="832"/>
      <c r="UD83" s="832"/>
      <c r="UE83" s="832"/>
      <c r="UF83" s="832"/>
      <c r="UG83" s="832"/>
      <c r="UH83" s="832"/>
      <c r="UI83" s="832"/>
      <c r="UJ83" s="832"/>
      <c r="UK83" s="832"/>
      <c r="UL83" s="832"/>
      <c r="UM83" s="832"/>
      <c r="UN83" s="832"/>
      <c r="UO83" s="832"/>
      <c r="UP83" s="832"/>
      <c r="UQ83" s="832"/>
      <c r="UR83" s="832"/>
      <c r="US83" s="832"/>
      <c r="UT83" s="832"/>
      <c r="UU83" s="832"/>
      <c r="UV83" s="832"/>
      <c r="UW83" s="832"/>
      <c r="UX83" s="832"/>
      <c r="UY83" s="832"/>
      <c r="UZ83" s="832"/>
      <c r="VA83" s="832"/>
      <c r="VB83" s="832"/>
      <c r="VC83" s="832"/>
      <c r="VD83" s="832"/>
      <c r="VE83" s="832"/>
      <c r="VF83" s="832"/>
      <c r="VG83" s="832"/>
      <c r="VH83" s="832"/>
      <c r="VI83" s="832"/>
      <c r="VJ83" s="832"/>
      <c r="VK83" s="832"/>
      <c r="VL83" s="832"/>
      <c r="VM83" s="832"/>
      <c r="VN83" s="832"/>
      <c r="VO83" s="832"/>
      <c r="VP83" s="832"/>
      <c r="VQ83" s="832"/>
      <c r="VR83" s="832"/>
      <c r="VS83" s="832"/>
      <c r="VT83" s="832"/>
      <c r="VU83" s="832"/>
      <c r="VV83" s="832"/>
      <c r="VW83" s="832"/>
      <c r="VX83" s="832"/>
      <c r="VY83" s="832"/>
      <c r="VZ83" s="832"/>
      <c r="WA83" s="832"/>
      <c r="WB83" s="832"/>
      <c r="WC83" s="832"/>
      <c r="WD83" s="832"/>
      <c r="WE83" s="832"/>
      <c r="WF83" s="832"/>
      <c r="WG83" s="832"/>
      <c r="WH83" s="832"/>
      <c r="WI83" s="832"/>
      <c r="WJ83" s="832"/>
      <c r="WK83" s="832"/>
      <c r="WL83" s="832"/>
      <c r="WM83" s="832"/>
      <c r="WN83" s="832"/>
      <c r="WO83" s="832"/>
      <c r="WP83" s="832"/>
      <c r="WQ83" s="832"/>
      <c r="WR83" s="832"/>
      <c r="WS83" s="832"/>
      <c r="WT83" s="832"/>
      <c r="WU83" s="832"/>
      <c r="WV83" s="832"/>
      <c r="WW83" s="832"/>
      <c r="WX83" s="832"/>
      <c r="WY83" s="832"/>
      <c r="WZ83" s="832"/>
      <c r="XA83" s="832"/>
      <c r="XB83" s="832"/>
      <c r="XC83" s="832"/>
      <c r="XD83" s="832"/>
      <c r="XE83" s="832"/>
      <c r="XF83" s="832"/>
      <c r="XG83" s="832"/>
      <c r="XH83" s="832"/>
      <c r="XI83" s="832"/>
      <c r="XJ83" s="832"/>
      <c r="XK83" s="832"/>
      <c r="XL83" s="832"/>
      <c r="XM83" s="832"/>
      <c r="XN83" s="832"/>
      <c r="XO83" s="832"/>
      <c r="XP83" s="832"/>
      <c r="XQ83" s="832"/>
      <c r="XR83" s="832"/>
      <c r="XS83" s="832"/>
      <c r="XT83" s="832"/>
      <c r="XU83" s="832"/>
      <c r="XV83" s="832"/>
      <c r="XW83" s="832"/>
      <c r="XX83" s="832"/>
      <c r="XY83" s="832"/>
      <c r="XZ83" s="832"/>
      <c r="YA83" s="832"/>
      <c r="YB83" s="832"/>
      <c r="YC83" s="832"/>
      <c r="YD83" s="832"/>
      <c r="YE83" s="832"/>
      <c r="YF83" s="832"/>
      <c r="YG83" s="832"/>
      <c r="YH83" s="832"/>
      <c r="YI83" s="832"/>
      <c r="YJ83" s="832"/>
      <c r="YK83" s="832"/>
      <c r="YL83" s="832"/>
      <c r="YM83" s="832"/>
      <c r="YN83" s="832"/>
      <c r="YO83" s="832"/>
      <c r="YP83" s="832"/>
      <c r="YQ83" s="832"/>
      <c r="YR83" s="832"/>
      <c r="YS83" s="832"/>
      <c r="YT83" s="832"/>
      <c r="YU83" s="832"/>
      <c r="YV83" s="832"/>
      <c r="YW83" s="832"/>
      <c r="YX83" s="832"/>
      <c r="YY83" s="832"/>
      <c r="YZ83" s="832"/>
      <c r="ZA83" s="832"/>
      <c r="ZB83" s="832"/>
      <c r="ZC83" s="832"/>
      <c r="ZD83" s="832"/>
      <c r="ZE83" s="832"/>
      <c r="ZF83" s="832"/>
      <c r="ZG83" s="832"/>
      <c r="ZH83" s="832"/>
      <c r="ZI83" s="832"/>
      <c r="ZJ83" s="832"/>
      <c r="ZK83" s="832"/>
      <c r="ZL83" s="832"/>
      <c r="ZM83" s="832"/>
      <c r="ZN83" s="832"/>
      <c r="ZO83" s="832"/>
      <c r="ZP83" s="832"/>
      <c r="ZQ83" s="832"/>
      <c r="ZR83" s="832"/>
      <c r="ZS83" s="832"/>
      <c r="ZT83" s="832"/>
      <c r="ZU83" s="832"/>
      <c r="ZV83" s="832"/>
      <c r="ZW83" s="832"/>
      <c r="ZX83" s="832"/>
      <c r="ZY83" s="832"/>
      <c r="ZZ83" s="832"/>
      <c r="AAA83" s="832"/>
      <c r="AAB83" s="832"/>
      <c r="AAC83" s="832"/>
      <c r="AAD83" s="832"/>
      <c r="AAE83" s="832"/>
      <c r="AAF83" s="832"/>
      <c r="AAG83" s="832"/>
      <c r="AAH83" s="832"/>
      <c r="AAI83" s="832"/>
      <c r="AAJ83" s="832"/>
      <c r="AAK83" s="832"/>
      <c r="AAL83" s="832"/>
      <c r="AAM83" s="832"/>
      <c r="AAN83" s="832"/>
      <c r="AAO83" s="832"/>
      <c r="AAP83" s="832"/>
      <c r="AAQ83" s="832"/>
      <c r="AAR83" s="832"/>
      <c r="AAS83" s="832"/>
      <c r="AAT83" s="832"/>
      <c r="AAU83" s="832"/>
      <c r="AAV83" s="832"/>
      <c r="AAW83" s="832"/>
      <c r="AAX83" s="832"/>
      <c r="AAY83" s="832"/>
      <c r="AAZ83" s="832"/>
      <c r="ABA83" s="832"/>
      <c r="ABB83" s="832"/>
      <c r="ABC83" s="832"/>
      <c r="ABD83" s="832"/>
      <c r="ABE83" s="832"/>
      <c r="ABF83" s="832"/>
      <c r="ABG83" s="832"/>
      <c r="ABH83" s="832"/>
      <c r="ABI83" s="832"/>
      <c r="ABJ83" s="832"/>
      <c r="ABK83" s="832"/>
      <c r="ABL83" s="832"/>
      <c r="ABM83" s="832"/>
      <c r="ABN83" s="832"/>
      <c r="ABO83" s="832"/>
      <c r="ABP83" s="832"/>
      <c r="ABQ83" s="832"/>
      <c r="ABR83" s="832"/>
      <c r="ABS83" s="832"/>
      <c r="ABT83" s="832"/>
      <c r="ABU83" s="832"/>
      <c r="ABV83" s="832"/>
      <c r="ABW83" s="832"/>
      <c r="ABX83" s="832"/>
      <c r="ABY83" s="832"/>
      <c r="ABZ83" s="832"/>
      <c r="ACA83" s="832"/>
      <c r="ACB83" s="832"/>
      <c r="ACC83" s="832"/>
      <c r="ACD83" s="832"/>
      <c r="ACE83" s="832"/>
      <c r="ACF83" s="832"/>
      <c r="ACG83" s="832"/>
      <c r="ACH83" s="832"/>
      <c r="ACI83" s="832"/>
      <c r="ACJ83" s="832"/>
      <c r="ACK83" s="832"/>
      <c r="ACL83" s="832"/>
      <c r="ACM83" s="832"/>
      <c r="ACN83" s="832"/>
      <c r="ACO83" s="832"/>
      <c r="ACP83" s="832"/>
      <c r="ACQ83" s="832"/>
      <c r="ACR83" s="832"/>
      <c r="ACS83" s="832"/>
      <c r="ACT83" s="832"/>
      <c r="ACU83" s="832"/>
      <c r="ACV83" s="832"/>
      <c r="ACW83" s="832"/>
      <c r="ACX83" s="832"/>
      <c r="ACY83" s="832"/>
      <c r="ACZ83" s="832"/>
      <c r="ADA83" s="832"/>
      <c r="ADB83" s="832"/>
      <c r="ADC83" s="832"/>
      <c r="ADD83" s="832"/>
      <c r="ADE83" s="832"/>
      <c r="ADF83" s="832"/>
      <c r="ADG83" s="832"/>
      <c r="ADH83" s="832"/>
      <c r="ADI83" s="832"/>
      <c r="ADJ83" s="832"/>
      <c r="ADK83" s="832"/>
      <c r="ADL83" s="832"/>
      <c r="ADM83" s="832"/>
      <c r="ADN83" s="832"/>
      <c r="ADO83" s="832"/>
      <c r="ADP83" s="832"/>
      <c r="ADQ83" s="832"/>
      <c r="ADR83" s="832"/>
      <c r="ADS83" s="832"/>
      <c r="ADT83" s="832"/>
      <c r="ADU83" s="832"/>
      <c r="ADV83" s="832"/>
      <c r="ADW83" s="832"/>
      <c r="ADX83" s="832"/>
      <c r="ADY83" s="832"/>
      <c r="ADZ83" s="832"/>
      <c r="AEA83" s="832"/>
      <c r="AEB83" s="832"/>
      <c r="AEC83" s="832"/>
      <c r="AED83" s="832"/>
      <c r="AEE83" s="832"/>
      <c r="AEF83" s="832"/>
      <c r="AEG83" s="832"/>
      <c r="AEH83" s="832"/>
      <c r="AEI83" s="832"/>
      <c r="AEJ83" s="832"/>
      <c r="AEK83" s="832"/>
      <c r="AEL83" s="832"/>
      <c r="AEM83" s="832"/>
      <c r="AEN83" s="832"/>
      <c r="AEO83" s="832"/>
      <c r="AEP83" s="832"/>
      <c r="AEQ83" s="832"/>
      <c r="AER83" s="832"/>
      <c r="AES83" s="832"/>
      <c r="AET83" s="832"/>
      <c r="AEU83" s="832"/>
      <c r="AEV83" s="832"/>
      <c r="AEW83" s="832"/>
      <c r="AEX83" s="832"/>
      <c r="AEY83" s="832"/>
      <c r="AEZ83" s="832"/>
      <c r="AFA83" s="832"/>
      <c r="AFB83" s="832"/>
      <c r="AFC83" s="832"/>
      <c r="AFD83" s="832"/>
      <c r="AFE83" s="832"/>
      <c r="AFF83" s="832"/>
      <c r="AFG83" s="832"/>
      <c r="AFH83" s="832"/>
      <c r="AFI83" s="832"/>
      <c r="AFJ83" s="832"/>
      <c r="AFK83" s="832"/>
      <c r="AFL83" s="832"/>
      <c r="AFM83" s="832"/>
      <c r="AFN83" s="832"/>
      <c r="AFO83" s="832"/>
      <c r="AFP83" s="832"/>
      <c r="AFQ83" s="832"/>
      <c r="AFR83" s="832"/>
      <c r="AFS83" s="832"/>
      <c r="AFT83" s="832"/>
      <c r="AFU83" s="832"/>
      <c r="AFV83" s="832"/>
      <c r="AFW83" s="832"/>
      <c r="AFX83" s="832"/>
      <c r="AFY83" s="832"/>
      <c r="AFZ83" s="832"/>
      <c r="AGA83" s="832"/>
      <c r="AGB83" s="832"/>
      <c r="AGC83" s="832"/>
      <c r="AGD83" s="832"/>
      <c r="AGE83" s="832"/>
      <c r="AGF83" s="832"/>
      <c r="AGG83" s="832"/>
      <c r="AGH83" s="832"/>
      <c r="AGI83" s="832"/>
      <c r="AGJ83" s="832"/>
      <c r="AGK83" s="832"/>
      <c r="AGL83" s="832"/>
      <c r="AGM83" s="832"/>
      <c r="AGN83" s="832"/>
      <c r="AGO83" s="832"/>
      <c r="AGP83" s="832"/>
      <c r="AGQ83" s="832"/>
      <c r="AGR83" s="832"/>
      <c r="AGS83" s="832"/>
      <c r="AGT83" s="832"/>
      <c r="AGU83" s="832"/>
      <c r="AGV83" s="832"/>
      <c r="AGW83" s="832"/>
      <c r="AGX83" s="832"/>
      <c r="AGY83" s="832"/>
      <c r="AGZ83" s="832"/>
      <c r="AHA83" s="832"/>
      <c r="AHB83" s="832"/>
      <c r="AHC83" s="832"/>
      <c r="AHD83" s="832"/>
      <c r="AHE83" s="832"/>
      <c r="AHF83" s="832"/>
      <c r="AHG83" s="832"/>
      <c r="AHH83" s="832"/>
      <c r="AHI83" s="832"/>
      <c r="AHJ83" s="832"/>
      <c r="AHK83" s="832"/>
      <c r="AHL83" s="832"/>
      <c r="AHM83" s="832"/>
      <c r="AHN83" s="832"/>
      <c r="AHO83" s="832"/>
      <c r="AHP83" s="832"/>
      <c r="AHQ83" s="832"/>
      <c r="AHR83" s="832"/>
      <c r="AHS83" s="832"/>
      <c r="AHT83" s="832"/>
      <c r="AHU83" s="832"/>
      <c r="AHV83" s="832"/>
      <c r="AHW83" s="832"/>
      <c r="AHX83" s="832"/>
      <c r="AHY83" s="832"/>
      <c r="AHZ83" s="832"/>
      <c r="AIA83" s="832"/>
      <c r="AIB83" s="832"/>
      <c r="AIC83" s="832"/>
      <c r="AID83" s="832"/>
      <c r="AIE83" s="832"/>
      <c r="AIF83" s="832"/>
      <c r="AIG83" s="832"/>
      <c r="AIH83" s="832"/>
      <c r="AII83" s="832"/>
      <c r="AIJ83" s="832"/>
      <c r="AIK83" s="832"/>
      <c r="AIL83" s="832"/>
      <c r="AIM83" s="832"/>
      <c r="AIN83" s="832"/>
      <c r="AIO83" s="832"/>
      <c r="AIP83" s="832"/>
      <c r="AIQ83" s="832"/>
      <c r="AIR83" s="832"/>
      <c r="AIS83" s="832"/>
      <c r="AIT83" s="832"/>
      <c r="AIU83" s="832"/>
      <c r="AIV83" s="832"/>
      <c r="AIW83" s="832"/>
      <c r="AIX83" s="832"/>
      <c r="AIY83" s="832"/>
      <c r="AIZ83" s="832"/>
      <c r="AJA83" s="832"/>
      <c r="AJB83" s="832"/>
      <c r="AJC83" s="832"/>
      <c r="AJD83" s="832"/>
      <c r="AJE83" s="832"/>
      <c r="AJF83" s="832"/>
      <c r="AJG83" s="832"/>
      <c r="AJH83" s="832"/>
      <c r="AJI83" s="832"/>
      <c r="AJJ83" s="832"/>
      <c r="AJK83" s="832"/>
      <c r="AJL83" s="832"/>
      <c r="AJM83" s="832"/>
      <c r="AJN83" s="832"/>
      <c r="AJO83" s="832"/>
      <c r="AJP83" s="832"/>
      <c r="AJQ83" s="832"/>
      <c r="AJR83" s="832"/>
      <c r="AJS83" s="832"/>
      <c r="AJT83" s="832"/>
      <c r="AJU83" s="832"/>
      <c r="AJV83" s="832"/>
      <c r="AJW83" s="832"/>
      <c r="AJX83" s="832"/>
      <c r="AJY83" s="832"/>
      <c r="AJZ83" s="832"/>
      <c r="AKA83" s="832"/>
      <c r="AKB83" s="832"/>
      <c r="AKC83" s="832"/>
      <c r="AKD83" s="832"/>
      <c r="AKE83" s="832"/>
      <c r="AKF83" s="832"/>
      <c r="AKG83" s="832"/>
      <c r="AKH83" s="832"/>
      <c r="AKI83" s="832"/>
      <c r="AKJ83" s="832"/>
      <c r="AKK83" s="832"/>
      <c r="AKL83" s="832"/>
      <c r="AKM83" s="832"/>
      <c r="AKN83" s="832"/>
      <c r="AKO83" s="832"/>
      <c r="AKP83" s="832"/>
      <c r="AKQ83" s="832"/>
      <c r="AKR83" s="832"/>
      <c r="AKS83" s="832"/>
      <c r="AKT83" s="832"/>
      <c r="AKU83" s="832"/>
      <c r="AKV83" s="832"/>
      <c r="AKW83" s="832"/>
      <c r="AKX83" s="832"/>
      <c r="AKY83" s="832"/>
      <c r="AKZ83" s="832"/>
      <c r="ALA83" s="832"/>
      <c r="ALB83" s="832"/>
      <c r="ALC83" s="832"/>
      <c r="ALD83" s="832"/>
      <c r="ALE83" s="832"/>
      <c r="ALF83" s="832"/>
      <c r="ALG83" s="832"/>
      <c r="ALH83" s="832"/>
      <c r="ALI83" s="832"/>
      <c r="ALJ83" s="832"/>
      <c r="ALK83" s="832"/>
      <c r="ALL83" s="832"/>
      <c r="ALM83" s="832"/>
      <c r="ALN83" s="832"/>
      <c r="ALO83" s="832"/>
      <c r="ALP83" s="832"/>
      <c r="ALQ83" s="832"/>
      <c r="ALR83" s="832"/>
      <c r="ALS83" s="832"/>
      <c r="ALT83" s="832"/>
      <c r="ALU83" s="832"/>
      <c r="ALV83" s="832"/>
      <c r="ALW83" s="832"/>
      <c r="ALX83" s="832"/>
      <c r="ALY83" s="832"/>
      <c r="ALZ83" s="832"/>
      <c r="AMA83" s="832"/>
      <c r="AMB83" s="832"/>
      <c r="AMC83" s="832"/>
      <c r="AMD83" s="832"/>
      <c r="AME83" s="832"/>
      <c r="AMF83" s="832"/>
      <c r="AMG83" s="832"/>
      <c r="AMH83" s="832"/>
      <c r="AMI83" s="832"/>
      <c r="AMJ83" s="832"/>
      <c r="AMK83" s="832"/>
      <c r="AML83" s="832"/>
    </row>
    <row r="84" spans="1:1026" s="826" customFormat="1" ht="24.95" customHeight="1">
      <c r="A84" s="900"/>
      <c r="B84" s="901" t="s">
        <v>191</v>
      </c>
      <c r="C84" s="926"/>
      <c r="D84" s="922" t="s">
        <v>192</v>
      </c>
      <c r="E84" s="927"/>
      <c r="F84" s="928"/>
      <c r="G84" s="929"/>
      <c r="H84" s="905"/>
      <c r="I84" s="900"/>
      <c r="J84" s="917"/>
      <c r="K84" s="918"/>
      <c r="L84" s="834"/>
      <c r="M84" s="834"/>
      <c r="N84" s="834"/>
      <c r="O84" s="834"/>
      <c r="P84" s="834"/>
      <c r="Q84" s="834"/>
      <c r="R84" s="834"/>
      <c r="S84" s="834"/>
      <c r="T84" s="834"/>
      <c r="U84" s="834"/>
      <c r="V84" s="834"/>
      <c r="W84" s="834"/>
      <c r="X84" s="834"/>
      <c r="Y84" s="834"/>
      <c r="Z84" s="834"/>
      <c r="AA84" s="834"/>
      <c r="AB84" s="834"/>
      <c r="AC84" s="834"/>
      <c r="AD84" s="834"/>
      <c r="AE84" s="834"/>
      <c r="AF84" s="834"/>
      <c r="AG84" s="834"/>
      <c r="AH84" s="834"/>
      <c r="AI84" s="834"/>
      <c r="AJ84" s="834"/>
      <c r="AK84" s="834"/>
      <c r="AL84" s="834"/>
      <c r="AM84" s="834"/>
      <c r="AN84" s="834"/>
      <c r="AO84" s="834"/>
      <c r="AP84" s="834"/>
      <c r="AQ84" s="834"/>
      <c r="AR84" s="834"/>
      <c r="AS84" s="834"/>
      <c r="AT84" s="834"/>
      <c r="AU84" s="834"/>
      <c r="AV84" s="834"/>
      <c r="AW84" s="834"/>
      <c r="AX84" s="834"/>
      <c r="AY84" s="834"/>
      <c r="AZ84" s="834"/>
      <c r="BA84" s="834"/>
      <c r="BB84" s="834"/>
      <c r="BC84" s="834"/>
      <c r="BD84" s="834"/>
      <c r="BE84" s="834"/>
      <c r="BF84" s="834"/>
      <c r="BG84" s="834"/>
      <c r="BH84" s="834"/>
      <c r="BI84" s="834"/>
      <c r="BJ84" s="834"/>
      <c r="BK84" s="834"/>
      <c r="BL84" s="834"/>
      <c r="BM84" s="834"/>
      <c r="BN84" s="834"/>
      <c r="BO84" s="834"/>
      <c r="BP84" s="834"/>
      <c r="BQ84" s="834"/>
      <c r="BR84" s="834"/>
      <c r="BS84" s="834"/>
      <c r="BT84" s="834"/>
      <c r="BU84" s="834"/>
      <c r="BV84" s="834"/>
      <c r="BW84" s="834"/>
      <c r="BX84" s="834"/>
      <c r="BY84" s="834"/>
      <c r="BZ84" s="834"/>
      <c r="CA84" s="834"/>
      <c r="CB84" s="834"/>
      <c r="CC84" s="834"/>
      <c r="CD84" s="834"/>
      <c r="CE84" s="834"/>
      <c r="CF84" s="834"/>
      <c r="CG84" s="834"/>
      <c r="CH84" s="834"/>
      <c r="CI84" s="834"/>
      <c r="CJ84" s="834"/>
      <c r="CK84" s="834"/>
      <c r="CL84" s="834"/>
      <c r="CM84" s="834"/>
      <c r="CN84" s="834"/>
      <c r="CO84" s="834"/>
      <c r="CP84" s="834"/>
      <c r="CQ84" s="834"/>
      <c r="CR84" s="834"/>
      <c r="CS84" s="834"/>
      <c r="CT84" s="834"/>
      <c r="CU84" s="834"/>
      <c r="CV84" s="834"/>
      <c r="CW84" s="834"/>
      <c r="CX84" s="834"/>
      <c r="CY84" s="834"/>
      <c r="CZ84" s="834"/>
      <c r="DA84" s="834"/>
      <c r="DB84" s="834"/>
      <c r="DC84" s="834"/>
      <c r="DD84" s="834"/>
      <c r="DE84" s="834"/>
      <c r="DF84" s="834"/>
      <c r="DG84" s="834"/>
      <c r="DH84" s="834"/>
      <c r="DI84" s="834"/>
      <c r="DJ84" s="834"/>
      <c r="DK84" s="834"/>
      <c r="DL84" s="834"/>
      <c r="DM84" s="834"/>
      <c r="DN84" s="834"/>
      <c r="DO84" s="834"/>
      <c r="DP84" s="834"/>
      <c r="DQ84" s="834"/>
      <c r="DR84" s="834"/>
      <c r="DS84" s="834"/>
      <c r="DT84" s="834"/>
      <c r="DU84" s="834"/>
      <c r="DV84" s="834"/>
      <c r="DW84" s="834"/>
      <c r="DX84" s="834"/>
      <c r="DY84" s="834"/>
      <c r="DZ84" s="834"/>
      <c r="EA84" s="834"/>
      <c r="EB84" s="834"/>
      <c r="EC84" s="834"/>
      <c r="ED84" s="834"/>
      <c r="EE84" s="834"/>
      <c r="EF84" s="834"/>
      <c r="EG84" s="834"/>
      <c r="EH84" s="834"/>
      <c r="EI84" s="834"/>
      <c r="EJ84" s="834"/>
      <c r="EK84" s="834"/>
      <c r="EL84" s="834"/>
      <c r="EM84" s="834"/>
      <c r="EN84" s="834"/>
      <c r="EO84" s="834"/>
      <c r="EP84" s="834"/>
      <c r="EQ84" s="834"/>
      <c r="ER84" s="834"/>
      <c r="ES84" s="834"/>
      <c r="ET84" s="834"/>
      <c r="EU84" s="834"/>
      <c r="EV84" s="834"/>
      <c r="EW84" s="834"/>
      <c r="EX84" s="834"/>
      <c r="EY84" s="834"/>
      <c r="EZ84" s="834"/>
      <c r="FA84" s="834"/>
      <c r="FB84" s="834"/>
      <c r="FC84" s="834"/>
      <c r="FD84" s="834"/>
      <c r="FE84" s="834"/>
      <c r="FF84" s="834"/>
      <c r="FG84" s="834"/>
      <c r="FH84" s="834"/>
      <c r="FI84" s="834"/>
      <c r="FJ84" s="834"/>
      <c r="FK84" s="834"/>
      <c r="FL84" s="834"/>
      <c r="FM84" s="834"/>
      <c r="FN84" s="834"/>
      <c r="FO84" s="834"/>
      <c r="FP84" s="834"/>
      <c r="FQ84" s="834"/>
      <c r="FR84" s="834"/>
      <c r="FS84" s="834"/>
      <c r="FT84" s="834"/>
      <c r="FU84" s="834"/>
      <c r="FV84" s="834"/>
      <c r="FW84" s="834"/>
      <c r="FX84" s="834"/>
      <c r="FY84" s="834"/>
      <c r="FZ84" s="834"/>
      <c r="GA84" s="834"/>
      <c r="GB84" s="834"/>
      <c r="GC84" s="834"/>
      <c r="GD84" s="834"/>
      <c r="GE84" s="834"/>
      <c r="GF84" s="834"/>
      <c r="GG84" s="834"/>
      <c r="GH84" s="834"/>
      <c r="GI84" s="834"/>
      <c r="GJ84" s="834"/>
      <c r="GK84" s="834"/>
      <c r="GL84" s="834"/>
      <c r="GM84" s="834"/>
      <c r="GN84" s="834"/>
      <c r="GO84" s="834"/>
      <c r="GP84" s="834"/>
      <c r="GQ84" s="834"/>
      <c r="GR84" s="834"/>
      <c r="GS84" s="834"/>
      <c r="GT84" s="834"/>
      <c r="GU84" s="834"/>
      <c r="GV84" s="834"/>
      <c r="GW84" s="834"/>
      <c r="GX84" s="834"/>
      <c r="GY84" s="834"/>
      <c r="GZ84" s="834"/>
      <c r="HA84" s="834"/>
      <c r="HB84" s="834"/>
      <c r="HC84" s="834"/>
      <c r="HD84" s="834"/>
      <c r="HE84" s="834"/>
      <c r="HF84" s="834"/>
      <c r="HG84" s="834"/>
      <c r="HH84" s="834"/>
      <c r="HI84" s="834"/>
      <c r="HJ84" s="834"/>
      <c r="HK84" s="834"/>
      <c r="HL84" s="834"/>
      <c r="HM84" s="834"/>
      <c r="HN84" s="834"/>
      <c r="HO84" s="834"/>
      <c r="HP84" s="834"/>
      <c r="HQ84" s="834"/>
      <c r="HR84" s="834"/>
      <c r="HS84" s="834"/>
      <c r="HT84" s="834"/>
      <c r="HU84" s="834"/>
      <c r="HV84" s="834"/>
      <c r="HW84" s="834"/>
      <c r="HX84" s="834"/>
      <c r="HY84" s="834"/>
      <c r="HZ84" s="834"/>
      <c r="IA84" s="834"/>
      <c r="IB84" s="834"/>
      <c r="IC84" s="834"/>
      <c r="ID84" s="834"/>
      <c r="IE84" s="834"/>
      <c r="IF84" s="834"/>
      <c r="IG84" s="834"/>
      <c r="IH84" s="834"/>
      <c r="II84" s="834"/>
      <c r="IJ84" s="834"/>
      <c r="IK84" s="834"/>
      <c r="IL84" s="834"/>
      <c r="IM84" s="834"/>
      <c r="IN84" s="834"/>
      <c r="IO84" s="834"/>
      <c r="IP84" s="834"/>
      <c r="IQ84" s="834"/>
      <c r="IR84" s="834"/>
      <c r="IS84" s="834"/>
      <c r="IT84" s="834"/>
      <c r="IU84" s="834"/>
      <c r="IV84" s="834"/>
      <c r="IW84" s="834"/>
      <c r="IX84" s="834"/>
      <c r="IY84" s="834"/>
      <c r="IZ84" s="834"/>
      <c r="JA84" s="834"/>
      <c r="JB84" s="834"/>
      <c r="JC84" s="834"/>
      <c r="JD84" s="834"/>
      <c r="JE84" s="834"/>
      <c r="JF84" s="834"/>
      <c r="JG84" s="834"/>
      <c r="JH84" s="834"/>
      <c r="JI84" s="834"/>
      <c r="JJ84" s="834"/>
      <c r="JK84" s="834"/>
      <c r="JL84" s="834"/>
      <c r="JM84" s="834"/>
      <c r="JN84" s="834"/>
      <c r="JO84" s="834"/>
      <c r="JP84" s="834"/>
      <c r="JQ84" s="834"/>
      <c r="JR84" s="834"/>
      <c r="JS84" s="834"/>
      <c r="JT84" s="834"/>
      <c r="JU84" s="834"/>
      <c r="JV84" s="834"/>
      <c r="JW84" s="834"/>
      <c r="JX84" s="834"/>
      <c r="JY84" s="834"/>
      <c r="JZ84" s="834"/>
      <c r="KA84" s="834"/>
      <c r="KB84" s="834"/>
      <c r="KC84" s="834"/>
      <c r="KD84" s="834"/>
      <c r="KE84" s="834"/>
      <c r="KF84" s="834"/>
      <c r="KG84" s="834"/>
      <c r="KH84" s="834"/>
      <c r="KI84" s="834"/>
      <c r="KJ84" s="834"/>
      <c r="KK84" s="834"/>
      <c r="KL84" s="834"/>
      <c r="KM84" s="834"/>
      <c r="KN84" s="834"/>
      <c r="KO84" s="834"/>
      <c r="KP84" s="834"/>
      <c r="KQ84" s="834"/>
      <c r="KR84" s="834"/>
      <c r="KS84" s="834"/>
      <c r="KT84" s="834"/>
      <c r="KU84" s="834"/>
      <c r="KV84" s="834"/>
      <c r="KW84" s="834"/>
      <c r="KX84" s="834"/>
      <c r="KY84" s="834"/>
      <c r="KZ84" s="834"/>
      <c r="LA84" s="834"/>
      <c r="LB84" s="834"/>
      <c r="LC84" s="834"/>
      <c r="LD84" s="834"/>
      <c r="LE84" s="834"/>
      <c r="LF84" s="834"/>
      <c r="LG84" s="834"/>
      <c r="LH84" s="834"/>
      <c r="LI84" s="834"/>
      <c r="LJ84" s="834"/>
      <c r="LK84" s="834"/>
      <c r="LL84" s="834"/>
      <c r="LM84" s="834"/>
      <c r="LN84" s="834"/>
      <c r="LO84" s="834"/>
      <c r="LP84" s="834"/>
      <c r="LQ84" s="834"/>
      <c r="LR84" s="834"/>
      <c r="LS84" s="834"/>
      <c r="LT84" s="834"/>
      <c r="LU84" s="834"/>
      <c r="LV84" s="834"/>
      <c r="LW84" s="834"/>
      <c r="LX84" s="834"/>
      <c r="LY84" s="834"/>
      <c r="LZ84" s="834"/>
      <c r="MA84" s="834"/>
      <c r="MB84" s="834"/>
      <c r="MC84" s="834"/>
      <c r="MD84" s="834"/>
      <c r="ME84" s="834"/>
      <c r="MF84" s="834"/>
      <c r="MG84" s="834"/>
      <c r="MH84" s="834"/>
      <c r="MI84" s="834"/>
      <c r="MJ84" s="834"/>
      <c r="MK84" s="834"/>
      <c r="ML84" s="834"/>
      <c r="MM84" s="834"/>
      <c r="MN84" s="834"/>
      <c r="MO84" s="834"/>
      <c r="MP84" s="834"/>
      <c r="MQ84" s="834"/>
      <c r="MR84" s="834"/>
      <c r="MS84" s="834"/>
      <c r="MT84" s="834"/>
      <c r="MU84" s="834"/>
      <c r="MV84" s="834"/>
      <c r="MW84" s="834"/>
      <c r="MX84" s="834"/>
      <c r="MY84" s="834"/>
      <c r="MZ84" s="834"/>
      <c r="NA84" s="834"/>
      <c r="NB84" s="834"/>
      <c r="NC84" s="834"/>
      <c r="ND84" s="834"/>
      <c r="NE84" s="834"/>
      <c r="NF84" s="834"/>
      <c r="NG84" s="834"/>
      <c r="NH84" s="834"/>
      <c r="NI84" s="834"/>
      <c r="NJ84" s="834"/>
      <c r="NK84" s="834"/>
      <c r="NL84" s="834"/>
      <c r="NM84" s="834"/>
      <c r="NN84" s="834"/>
      <c r="NO84" s="834"/>
      <c r="NP84" s="834"/>
      <c r="NQ84" s="834"/>
      <c r="NR84" s="834"/>
      <c r="NS84" s="834"/>
      <c r="NT84" s="834"/>
      <c r="NU84" s="834"/>
      <c r="NV84" s="834"/>
      <c r="NW84" s="834"/>
      <c r="NX84" s="834"/>
      <c r="NY84" s="834"/>
      <c r="NZ84" s="834"/>
      <c r="OA84" s="834"/>
      <c r="OB84" s="834"/>
      <c r="OC84" s="834"/>
      <c r="OD84" s="834"/>
      <c r="OE84" s="834"/>
      <c r="OF84" s="834"/>
      <c r="OG84" s="834"/>
      <c r="OH84" s="834"/>
      <c r="OI84" s="834"/>
      <c r="OJ84" s="834"/>
      <c r="OK84" s="834"/>
      <c r="OL84" s="834"/>
      <c r="OM84" s="834"/>
      <c r="ON84" s="834"/>
      <c r="OO84" s="834"/>
      <c r="OP84" s="834"/>
      <c r="OQ84" s="834"/>
      <c r="OR84" s="834"/>
      <c r="OS84" s="834"/>
      <c r="OT84" s="834"/>
      <c r="OU84" s="834"/>
      <c r="OV84" s="834"/>
      <c r="OW84" s="834"/>
      <c r="OX84" s="834"/>
      <c r="OY84" s="834"/>
      <c r="OZ84" s="834"/>
      <c r="PA84" s="834"/>
      <c r="PB84" s="834"/>
      <c r="PC84" s="834"/>
      <c r="PD84" s="834"/>
      <c r="PE84" s="834"/>
      <c r="PF84" s="834"/>
      <c r="PG84" s="834"/>
      <c r="PH84" s="834"/>
      <c r="PI84" s="834"/>
      <c r="PJ84" s="834"/>
      <c r="PK84" s="834"/>
      <c r="PL84" s="834"/>
      <c r="PM84" s="834"/>
      <c r="PN84" s="834"/>
      <c r="PO84" s="834"/>
      <c r="PP84" s="834"/>
      <c r="PQ84" s="834"/>
      <c r="PR84" s="834"/>
      <c r="PS84" s="834"/>
      <c r="PT84" s="834"/>
      <c r="PU84" s="834"/>
      <c r="PV84" s="834"/>
      <c r="PW84" s="834"/>
      <c r="PX84" s="834"/>
      <c r="PY84" s="834"/>
      <c r="PZ84" s="834"/>
      <c r="QA84" s="834"/>
      <c r="QB84" s="834"/>
      <c r="QC84" s="834"/>
      <c r="QD84" s="834"/>
      <c r="QE84" s="834"/>
      <c r="QF84" s="834"/>
      <c r="QG84" s="834"/>
      <c r="QH84" s="834"/>
      <c r="QI84" s="834"/>
      <c r="QJ84" s="834"/>
      <c r="QK84" s="834"/>
      <c r="QL84" s="834"/>
      <c r="QM84" s="834"/>
      <c r="QN84" s="834"/>
      <c r="QO84" s="834"/>
      <c r="QP84" s="834"/>
      <c r="QQ84" s="834"/>
      <c r="QR84" s="834"/>
      <c r="QS84" s="834"/>
      <c r="QT84" s="834"/>
      <c r="QU84" s="834"/>
      <c r="QV84" s="834"/>
      <c r="QW84" s="834"/>
      <c r="QX84" s="834"/>
      <c r="QY84" s="834"/>
      <c r="QZ84" s="834"/>
      <c r="RA84" s="834"/>
      <c r="RB84" s="834"/>
      <c r="RC84" s="834"/>
      <c r="RD84" s="834"/>
      <c r="RE84" s="834"/>
      <c r="RF84" s="834"/>
      <c r="RG84" s="834"/>
      <c r="RH84" s="834"/>
      <c r="RI84" s="834"/>
      <c r="RJ84" s="834"/>
      <c r="RK84" s="834"/>
      <c r="RL84" s="834"/>
      <c r="RM84" s="834"/>
      <c r="RN84" s="834"/>
      <c r="RO84" s="834"/>
      <c r="RP84" s="834"/>
      <c r="RQ84" s="834"/>
      <c r="RR84" s="834"/>
      <c r="RS84" s="834"/>
      <c r="RT84" s="834"/>
      <c r="RU84" s="834"/>
      <c r="RV84" s="834"/>
      <c r="RW84" s="834"/>
      <c r="RX84" s="834"/>
      <c r="RY84" s="834"/>
      <c r="RZ84" s="834"/>
      <c r="SA84" s="834"/>
      <c r="SB84" s="834"/>
      <c r="SC84" s="834"/>
      <c r="SD84" s="834"/>
      <c r="SE84" s="834"/>
      <c r="SF84" s="834"/>
      <c r="SG84" s="834"/>
      <c r="SH84" s="834"/>
      <c r="SI84" s="834"/>
      <c r="SJ84" s="834"/>
      <c r="SK84" s="834"/>
      <c r="SL84" s="834"/>
      <c r="SM84" s="834"/>
      <c r="SN84" s="834"/>
      <c r="SO84" s="834"/>
      <c r="SP84" s="834"/>
      <c r="SQ84" s="834"/>
      <c r="SR84" s="834"/>
      <c r="SS84" s="834"/>
      <c r="ST84" s="834"/>
      <c r="SU84" s="834"/>
      <c r="SV84" s="834"/>
      <c r="SW84" s="834"/>
      <c r="SX84" s="834"/>
      <c r="SY84" s="834"/>
      <c r="SZ84" s="834"/>
      <c r="TA84" s="834"/>
      <c r="TB84" s="834"/>
      <c r="TC84" s="834"/>
      <c r="TD84" s="834"/>
      <c r="TE84" s="834"/>
      <c r="TF84" s="834"/>
      <c r="TG84" s="834"/>
      <c r="TH84" s="834"/>
      <c r="TI84" s="834"/>
      <c r="TJ84" s="834"/>
      <c r="TK84" s="834"/>
      <c r="TL84" s="834"/>
      <c r="TM84" s="834"/>
      <c r="TN84" s="834"/>
      <c r="TO84" s="834"/>
      <c r="TP84" s="834"/>
      <c r="TQ84" s="834"/>
      <c r="TR84" s="834"/>
      <c r="TS84" s="834"/>
      <c r="TT84" s="834"/>
      <c r="TU84" s="834"/>
      <c r="TV84" s="834"/>
      <c r="TW84" s="834"/>
      <c r="TX84" s="834"/>
      <c r="TY84" s="834"/>
      <c r="TZ84" s="834"/>
      <c r="UA84" s="834"/>
      <c r="UB84" s="834"/>
      <c r="UC84" s="834"/>
      <c r="UD84" s="834"/>
      <c r="UE84" s="834"/>
      <c r="UF84" s="834"/>
      <c r="UG84" s="834"/>
      <c r="UH84" s="834"/>
      <c r="UI84" s="834"/>
      <c r="UJ84" s="834"/>
      <c r="UK84" s="834"/>
      <c r="UL84" s="834"/>
      <c r="UM84" s="834"/>
      <c r="UN84" s="834"/>
      <c r="UO84" s="834"/>
      <c r="UP84" s="834"/>
      <c r="UQ84" s="834"/>
      <c r="UR84" s="834"/>
      <c r="US84" s="834"/>
      <c r="UT84" s="834"/>
      <c r="UU84" s="834"/>
      <c r="UV84" s="834"/>
      <c r="UW84" s="834"/>
      <c r="UX84" s="834"/>
      <c r="UY84" s="834"/>
      <c r="UZ84" s="834"/>
      <c r="VA84" s="834"/>
      <c r="VB84" s="834"/>
      <c r="VC84" s="834"/>
      <c r="VD84" s="834"/>
      <c r="VE84" s="834"/>
      <c r="VF84" s="834"/>
      <c r="VG84" s="834"/>
      <c r="VH84" s="834"/>
      <c r="VI84" s="834"/>
      <c r="VJ84" s="834"/>
      <c r="VK84" s="834"/>
      <c r="VL84" s="834"/>
      <c r="VM84" s="834"/>
      <c r="VN84" s="834"/>
      <c r="VO84" s="834"/>
      <c r="VP84" s="834"/>
      <c r="VQ84" s="834"/>
      <c r="VR84" s="834"/>
      <c r="VS84" s="834"/>
      <c r="VT84" s="834"/>
      <c r="VU84" s="834"/>
      <c r="VV84" s="834"/>
      <c r="VW84" s="834"/>
      <c r="VX84" s="834"/>
      <c r="VY84" s="834"/>
      <c r="VZ84" s="834"/>
      <c r="WA84" s="834"/>
      <c r="WB84" s="834"/>
      <c r="WC84" s="834"/>
      <c r="WD84" s="834"/>
      <c r="WE84" s="834"/>
      <c r="WF84" s="834"/>
      <c r="WG84" s="834"/>
      <c r="WH84" s="834"/>
      <c r="WI84" s="834"/>
      <c r="WJ84" s="834"/>
      <c r="WK84" s="834"/>
      <c r="WL84" s="834"/>
      <c r="WM84" s="834"/>
      <c r="WN84" s="834"/>
      <c r="WO84" s="834"/>
      <c r="WP84" s="834"/>
      <c r="WQ84" s="834"/>
      <c r="WR84" s="834"/>
      <c r="WS84" s="834"/>
      <c r="WT84" s="834"/>
      <c r="WU84" s="834"/>
      <c r="WV84" s="834"/>
      <c r="WW84" s="834"/>
      <c r="WX84" s="834"/>
      <c r="WY84" s="834"/>
      <c r="WZ84" s="834"/>
      <c r="XA84" s="834"/>
      <c r="XB84" s="834"/>
      <c r="XC84" s="834"/>
      <c r="XD84" s="834"/>
      <c r="XE84" s="834"/>
      <c r="XF84" s="834"/>
      <c r="XG84" s="834"/>
      <c r="XH84" s="834"/>
      <c r="XI84" s="834"/>
      <c r="XJ84" s="834"/>
      <c r="XK84" s="834"/>
      <c r="XL84" s="834"/>
      <c r="XM84" s="834"/>
      <c r="XN84" s="834"/>
      <c r="XO84" s="834"/>
      <c r="XP84" s="834"/>
      <c r="XQ84" s="834"/>
      <c r="XR84" s="834"/>
      <c r="XS84" s="834"/>
      <c r="XT84" s="834"/>
      <c r="XU84" s="834"/>
      <c r="XV84" s="834"/>
      <c r="XW84" s="834"/>
      <c r="XX84" s="834"/>
      <c r="XY84" s="834"/>
      <c r="XZ84" s="834"/>
      <c r="YA84" s="834"/>
      <c r="YB84" s="834"/>
      <c r="YC84" s="834"/>
      <c r="YD84" s="834"/>
      <c r="YE84" s="834"/>
      <c r="YF84" s="834"/>
      <c r="YG84" s="834"/>
      <c r="YH84" s="834"/>
      <c r="YI84" s="834"/>
      <c r="YJ84" s="834"/>
      <c r="YK84" s="834"/>
      <c r="YL84" s="834"/>
      <c r="YM84" s="834"/>
      <c r="YN84" s="834"/>
      <c r="YO84" s="834"/>
      <c r="YP84" s="834"/>
      <c r="YQ84" s="834"/>
      <c r="YR84" s="834"/>
      <c r="YS84" s="834"/>
      <c r="YT84" s="834"/>
      <c r="YU84" s="834"/>
      <c r="YV84" s="834"/>
      <c r="YW84" s="834"/>
      <c r="YX84" s="834"/>
      <c r="YY84" s="834"/>
      <c r="YZ84" s="834"/>
      <c r="ZA84" s="834"/>
      <c r="ZB84" s="834"/>
      <c r="ZC84" s="834"/>
      <c r="ZD84" s="834"/>
      <c r="ZE84" s="834"/>
      <c r="ZF84" s="834"/>
      <c r="ZG84" s="834"/>
      <c r="ZH84" s="834"/>
      <c r="ZI84" s="834"/>
      <c r="ZJ84" s="834"/>
      <c r="ZK84" s="834"/>
      <c r="ZL84" s="834"/>
      <c r="ZM84" s="834"/>
      <c r="ZN84" s="834"/>
      <c r="ZO84" s="834"/>
      <c r="ZP84" s="834"/>
      <c r="ZQ84" s="834"/>
      <c r="ZR84" s="834"/>
      <c r="ZS84" s="834"/>
      <c r="ZT84" s="834"/>
      <c r="ZU84" s="834"/>
      <c r="ZV84" s="834"/>
      <c r="ZW84" s="834"/>
      <c r="ZX84" s="834"/>
      <c r="ZY84" s="834"/>
      <c r="ZZ84" s="834"/>
      <c r="AAA84" s="834"/>
      <c r="AAB84" s="834"/>
      <c r="AAC84" s="834"/>
      <c r="AAD84" s="834"/>
      <c r="AAE84" s="834"/>
      <c r="AAF84" s="834"/>
      <c r="AAG84" s="834"/>
      <c r="AAH84" s="834"/>
      <c r="AAI84" s="834"/>
      <c r="AAJ84" s="834"/>
      <c r="AAK84" s="834"/>
      <c r="AAL84" s="834"/>
      <c r="AAM84" s="834"/>
      <c r="AAN84" s="834"/>
      <c r="AAO84" s="834"/>
      <c r="AAP84" s="834"/>
      <c r="AAQ84" s="834"/>
      <c r="AAR84" s="834"/>
      <c r="AAS84" s="834"/>
      <c r="AAT84" s="834"/>
      <c r="AAU84" s="834"/>
      <c r="AAV84" s="834"/>
      <c r="AAW84" s="834"/>
      <c r="AAX84" s="834"/>
      <c r="AAY84" s="834"/>
      <c r="AAZ84" s="834"/>
      <c r="ABA84" s="834"/>
      <c r="ABB84" s="834"/>
      <c r="ABC84" s="834"/>
      <c r="ABD84" s="834"/>
      <c r="ABE84" s="834"/>
      <c r="ABF84" s="834"/>
      <c r="ABG84" s="834"/>
      <c r="ABH84" s="834"/>
      <c r="ABI84" s="834"/>
      <c r="ABJ84" s="834"/>
      <c r="ABK84" s="834"/>
      <c r="ABL84" s="834"/>
      <c r="ABM84" s="834"/>
      <c r="ABN84" s="834"/>
      <c r="ABO84" s="834"/>
      <c r="ABP84" s="834"/>
      <c r="ABQ84" s="834"/>
      <c r="ABR84" s="834"/>
      <c r="ABS84" s="834"/>
      <c r="ABT84" s="834"/>
      <c r="ABU84" s="834"/>
      <c r="ABV84" s="834"/>
      <c r="ABW84" s="834"/>
      <c r="ABX84" s="834"/>
      <c r="ABY84" s="834"/>
      <c r="ABZ84" s="834"/>
      <c r="ACA84" s="834"/>
      <c r="ACB84" s="834"/>
      <c r="ACC84" s="834"/>
      <c r="ACD84" s="834"/>
      <c r="ACE84" s="834"/>
      <c r="ACF84" s="834"/>
      <c r="ACG84" s="834"/>
      <c r="ACH84" s="834"/>
      <c r="ACI84" s="834"/>
      <c r="ACJ84" s="834"/>
      <c r="ACK84" s="834"/>
      <c r="ACL84" s="834"/>
      <c r="ACM84" s="834"/>
      <c r="ACN84" s="834"/>
      <c r="ACO84" s="834"/>
      <c r="ACP84" s="834"/>
      <c r="ACQ84" s="834"/>
      <c r="ACR84" s="834"/>
      <c r="ACS84" s="834"/>
      <c r="ACT84" s="834"/>
      <c r="ACU84" s="834"/>
      <c r="ACV84" s="834"/>
      <c r="ACW84" s="834"/>
      <c r="ACX84" s="834"/>
      <c r="ACY84" s="834"/>
      <c r="ACZ84" s="834"/>
      <c r="ADA84" s="834"/>
      <c r="ADB84" s="834"/>
      <c r="ADC84" s="834"/>
      <c r="ADD84" s="834"/>
      <c r="ADE84" s="834"/>
      <c r="ADF84" s="834"/>
      <c r="ADG84" s="834"/>
      <c r="ADH84" s="834"/>
      <c r="ADI84" s="834"/>
      <c r="ADJ84" s="834"/>
      <c r="ADK84" s="834"/>
      <c r="ADL84" s="834"/>
      <c r="ADM84" s="834"/>
      <c r="ADN84" s="834"/>
      <c r="ADO84" s="834"/>
      <c r="ADP84" s="834"/>
      <c r="ADQ84" s="834"/>
      <c r="ADR84" s="834"/>
      <c r="ADS84" s="834"/>
      <c r="ADT84" s="834"/>
      <c r="ADU84" s="834"/>
      <c r="ADV84" s="834"/>
      <c r="ADW84" s="834"/>
      <c r="ADX84" s="834"/>
      <c r="ADY84" s="834"/>
      <c r="ADZ84" s="834"/>
      <c r="AEA84" s="834"/>
      <c r="AEB84" s="834"/>
      <c r="AEC84" s="834"/>
      <c r="AED84" s="834"/>
      <c r="AEE84" s="834"/>
      <c r="AEF84" s="834"/>
      <c r="AEG84" s="834"/>
      <c r="AEH84" s="834"/>
      <c r="AEI84" s="834"/>
      <c r="AEJ84" s="834"/>
      <c r="AEK84" s="834"/>
      <c r="AEL84" s="834"/>
      <c r="AEM84" s="834"/>
      <c r="AEN84" s="834"/>
      <c r="AEO84" s="834"/>
      <c r="AEP84" s="834"/>
      <c r="AEQ84" s="834"/>
      <c r="AER84" s="834"/>
      <c r="AES84" s="834"/>
      <c r="AET84" s="834"/>
      <c r="AEU84" s="834"/>
      <c r="AEV84" s="834"/>
      <c r="AEW84" s="834"/>
      <c r="AEX84" s="834"/>
      <c r="AEY84" s="834"/>
      <c r="AEZ84" s="834"/>
      <c r="AFA84" s="834"/>
      <c r="AFB84" s="834"/>
      <c r="AFC84" s="834"/>
      <c r="AFD84" s="834"/>
      <c r="AFE84" s="834"/>
      <c r="AFF84" s="834"/>
      <c r="AFG84" s="834"/>
      <c r="AFH84" s="834"/>
      <c r="AFI84" s="834"/>
      <c r="AFJ84" s="834"/>
      <c r="AFK84" s="834"/>
      <c r="AFL84" s="834"/>
      <c r="AFM84" s="834"/>
      <c r="AFN84" s="834"/>
      <c r="AFO84" s="834"/>
      <c r="AFP84" s="834"/>
      <c r="AFQ84" s="834"/>
      <c r="AFR84" s="834"/>
      <c r="AFS84" s="834"/>
      <c r="AFT84" s="834"/>
      <c r="AFU84" s="834"/>
      <c r="AFV84" s="834"/>
      <c r="AFW84" s="834"/>
      <c r="AFX84" s="834"/>
      <c r="AFY84" s="834"/>
      <c r="AFZ84" s="834"/>
      <c r="AGA84" s="834"/>
      <c r="AGB84" s="834"/>
      <c r="AGC84" s="834"/>
      <c r="AGD84" s="834"/>
      <c r="AGE84" s="834"/>
      <c r="AGF84" s="834"/>
      <c r="AGG84" s="834"/>
      <c r="AGH84" s="834"/>
      <c r="AGI84" s="834"/>
      <c r="AGJ84" s="834"/>
      <c r="AGK84" s="834"/>
      <c r="AGL84" s="834"/>
      <c r="AGM84" s="834"/>
      <c r="AGN84" s="834"/>
      <c r="AGO84" s="834"/>
      <c r="AGP84" s="834"/>
      <c r="AGQ84" s="834"/>
      <c r="AGR84" s="834"/>
      <c r="AGS84" s="834"/>
      <c r="AGT84" s="834"/>
      <c r="AGU84" s="834"/>
      <c r="AGV84" s="834"/>
      <c r="AGW84" s="834"/>
      <c r="AGX84" s="834"/>
      <c r="AGY84" s="834"/>
      <c r="AGZ84" s="834"/>
      <c r="AHA84" s="834"/>
      <c r="AHB84" s="834"/>
      <c r="AHC84" s="834"/>
      <c r="AHD84" s="834"/>
      <c r="AHE84" s="834"/>
      <c r="AHF84" s="834"/>
      <c r="AHG84" s="834"/>
      <c r="AHH84" s="834"/>
      <c r="AHI84" s="834"/>
      <c r="AHJ84" s="834"/>
      <c r="AHK84" s="834"/>
      <c r="AHL84" s="834"/>
      <c r="AHM84" s="834"/>
      <c r="AHN84" s="834"/>
      <c r="AHO84" s="834"/>
      <c r="AHP84" s="834"/>
      <c r="AHQ84" s="834"/>
      <c r="AHR84" s="834"/>
      <c r="AHS84" s="834"/>
      <c r="AHT84" s="834"/>
      <c r="AHU84" s="834"/>
      <c r="AHV84" s="834"/>
      <c r="AHW84" s="834"/>
      <c r="AHX84" s="834"/>
      <c r="AHY84" s="834"/>
      <c r="AHZ84" s="834"/>
      <c r="AIA84" s="834"/>
      <c r="AIB84" s="834"/>
      <c r="AIC84" s="834"/>
      <c r="AID84" s="834"/>
      <c r="AIE84" s="834"/>
      <c r="AIF84" s="834"/>
      <c r="AIG84" s="834"/>
      <c r="AIH84" s="834"/>
      <c r="AII84" s="834"/>
      <c r="AIJ84" s="834"/>
      <c r="AIK84" s="834"/>
      <c r="AIL84" s="834"/>
      <c r="AIM84" s="834"/>
      <c r="AIN84" s="834"/>
      <c r="AIO84" s="834"/>
      <c r="AIP84" s="834"/>
      <c r="AIQ84" s="834"/>
      <c r="AIR84" s="834"/>
      <c r="AIS84" s="834"/>
      <c r="AIT84" s="834"/>
      <c r="AIU84" s="834"/>
      <c r="AIV84" s="834"/>
      <c r="AIW84" s="834"/>
      <c r="AIX84" s="834"/>
      <c r="AIY84" s="834"/>
      <c r="AIZ84" s="834"/>
      <c r="AJA84" s="834"/>
      <c r="AJB84" s="834"/>
      <c r="AJC84" s="834"/>
      <c r="AJD84" s="834"/>
      <c r="AJE84" s="834"/>
      <c r="AJF84" s="834"/>
      <c r="AJG84" s="834"/>
      <c r="AJH84" s="834"/>
      <c r="AJI84" s="834"/>
      <c r="AJJ84" s="834"/>
      <c r="AJK84" s="834"/>
      <c r="AJL84" s="834"/>
      <c r="AJM84" s="834"/>
      <c r="AJN84" s="834"/>
      <c r="AJO84" s="834"/>
      <c r="AJP84" s="834"/>
      <c r="AJQ84" s="834"/>
      <c r="AJR84" s="834"/>
      <c r="AJS84" s="834"/>
      <c r="AJT84" s="834"/>
      <c r="AJU84" s="834"/>
      <c r="AJV84" s="834"/>
      <c r="AJW84" s="834"/>
      <c r="AJX84" s="834"/>
      <c r="AJY84" s="834"/>
      <c r="AJZ84" s="834"/>
      <c r="AKA84" s="834"/>
      <c r="AKB84" s="834"/>
      <c r="AKC84" s="834"/>
      <c r="AKD84" s="834"/>
      <c r="AKE84" s="834"/>
      <c r="AKF84" s="834"/>
      <c r="AKG84" s="834"/>
      <c r="AKH84" s="834"/>
      <c r="AKI84" s="834"/>
      <c r="AKJ84" s="834"/>
      <c r="AKK84" s="834"/>
      <c r="AKL84" s="834"/>
      <c r="AKM84" s="834"/>
      <c r="AKN84" s="834"/>
      <c r="AKO84" s="834"/>
      <c r="AKP84" s="834"/>
      <c r="AKQ84" s="834"/>
      <c r="AKR84" s="834"/>
      <c r="AKS84" s="834"/>
      <c r="AKT84" s="834"/>
      <c r="AKU84" s="834"/>
      <c r="AKV84" s="834"/>
      <c r="AKW84" s="834"/>
      <c r="AKX84" s="834"/>
      <c r="AKY84" s="834"/>
      <c r="AKZ84" s="834"/>
      <c r="ALA84" s="834"/>
      <c r="ALB84" s="834"/>
      <c r="ALC84" s="834"/>
      <c r="ALD84" s="834"/>
      <c r="ALE84" s="834"/>
      <c r="ALF84" s="834"/>
      <c r="ALG84" s="834"/>
      <c r="ALH84" s="834"/>
      <c r="ALI84" s="834"/>
      <c r="ALJ84" s="834"/>
      <c r="ALK84" s="834"/>
      <c r="ALL84" s="834"/>
      <c r="ALM84" s="834"/>
      <c r="ALN84" s="834"/>
      <c r="ALO84" s="834"/>
      <c r="ALP84" s="834"/>
      <c r="ALQ84" s="834"/>
      <c r="ALR84" s="834"/>
      <c r="ALS84" s="834"/>
      <c r="ALT84" s="834"/>
      <c r="ALU84" s="834"/>
      <c r="ALV84" s="834"/>
      <c r="ALW84" s="834"/>
      <c r="ALX84" s="834"/>
      <c r="ALY84" s="834"/>
      <c r="ALZ84" s="834"/>
      <c r="AMA84" s="834"/>
      <c r="AMB84" s="834"/>
      <c r="AMC84" s="834"/>
      <c r="AMD84" s="834"/>
      <c r="AME84" s="834"/>
      <c r="AMF84" s="834"/>
      <c r="AMG84" s="834"/>
      <c r="AMH84" s="834"/>
      <c r="AMI84" s="834"/>
      <c r="AMJ84" s="834"/>
      <c r="AMK84" s="834"/>
      <c r="AML84" s="834"/>
    </row>
    <row r="85" spans="1:1026" ht="38.25" customHeight="1">
      <c r="A85" s="844"/>
      <c r="B85" s="891" t="s">
        <v>193</v>
      </c>
      <c r="C85" s="879" t="s">
        <v>194</v>
      </c>
      <c r="D85" s="443" t="s">
        <v>195</v>
      </c>
      <c r="E85" s="879" t="s">
        <v>27</v>
      </c>
      <c r="F85" s="930">
        <f>(Esquadrias!H36)*(Esquadrias!K36)+(Esquadrias!H38)*(Esquadrias!K38)</f>
        <v>132.80000000000001</v>
      </c>
      <c r="G85" s="893">
        <f>K85</f>
        <v>449.47</v>
      </c>
      <c r="H85" s="883">
        <f t="shared" si="7"/>
        <v>59689.616000000009</v>
      </c>
      <c r="I85" s="844"/>
      <c r="J85" s="841">
        <v>355</v>
      </c>
      <c r="K85" s="842">
        <f t="shared" ref="K85:K130" si="8">ROUND(J85*(1+$H$14),2)</f>
        <v>449.47</v>
      </c>
    </row>
    <row r="86" spans="1:1026" s="388" customFormat="1" ht="39.75" customHeight="1">
      <c r="A86" s="885"/>
      <c r="B86" s="891" t="s">
        <v>196</v>
      </c>
      <c r="C86" s="886" t="s">
        <v>197</v>
      </c>
      <c r="D86" s="451" t="s">
        <v>198</v>
      </c>
      <c r="E86" s="886" t="s">
        <v>27</v>
      </c>
      <c r="F86" s="931">
        <f>(Esquadrias!I54)*(0.8)</f>
        <v>78.728000000000009</v>
      </c>
      <c r="G86" s="932">
        <f>K86</f>
        <v>1282.42</v>
      </c>
      <c r="H86" s="889">
        <f t="shared" si="7"/>
        <v>100962.36176000001</v>
      </c>
      <c r="I86" s="885"/>
      <c r="J86" s="915">
        <v>1012.89</v>
      </c>
      <c r="K86" s="916">
        <f t="shared" si="8"/>
        <v>1282.42</v>
      </c>
      <c r="L86" s="832"/>
      <c r="M86" s="832"/>
      <c r="N86" s="832"/>
      <c r="O86" s="832"/>
      <c r="P86" s="832"/>
      <c r="Q86" s="832"/>
      <c r="R86" s="832"/>
      <c r="S86" s="832"/>
      <c r="T86" s="832"/>
      <c r="U86" s="832"/>
      <c r="V86" s="832"/>
      <c r="W86" s="832"/>
      <c r="X86" s="832"/>
      <c r="Y86" s="832"/>
      <c r="Z86" s="832"/>
      <c r="AA86" s="832"/>
      <c r="AB86" s="832"/>
      <c r="AC86" s="832"/>
      <c r="AD86" s="832"/>
      <c r="AE86" s="832"/>
      <c r="AF86" s="832"/>
      <c r="AG86" s="832"/>
      <c r="AH86" s="832"/>
      <c r="AI86" s="832"/>
      <c r="AJ86" s="832"/>
      <c r="AK86" s="832"/>
      <c r="AL86" s="832"/>
      <c r="AM86" s="832"/>
      <c r="AN86" s="832"/>
      <c r="AO86" s="832"/>
      <c r="AP86" s="832"/>
      <c r="AQ86" s="832"/>
      <c r="AR86" s="832"/>
      <c r="AS86" s="832"/>
      <c r="AT86" s="832"/>
      <c r="AU86" s="832"/>
      <c r="AV86" s="832"/>
      <c r="AW86" s="832"/>
      <c r="AX86" s="832"/>
      <c r="AY86" s="832"/>
      <c r="AZ86" s="832"/>
      <c r="BA86" s="832"/>
      <c r="BB86" s="832"/>
      <c r="BC86" s="832"/>
      <c r="BD86" s="832"/>
      <c r="BE86" s="832"/>
      <c r="BF86" s="832"/>
      <c r="BG86" s="832"/>
      <c r="BH86" s="832"/>
      <c r="BI86" s="832"/>
      <c r="BJ86" s="832"/>
      <c r="BK86" s="832"/>
      <c r="BL86" s="832"/>
      <c r="BM86" s="832"/>
      <c r="BN86" s="832"/>
      <c r="BO86" s="832"/>
      <c r="BP86" s="832"/>
      <c r="BQ86" s="832"/>
      <c r="BR86" s="832"/>
      <c r="BS86" s="832"/>
      <c r="BT86" s="832"/>
      <c r="BU86" s="832"/>
      <c r="BV86" s="832"/>
      <c r="BW86" s="832"/>
      <c r="BX86" s="832"/>
      <c r="BY86" s="832"/>
      <c r="BZ86" s="832"/>
      <c r="CA86" s="832"/>
      <c r="CB86" s="832"/>
      <c r="CC86" s="832"/>
      <c r="CD86" s="832"/>
      <c r="CE86" s="832"/>
      <c r="CF86" s="832"/>
      <c r="CG86" s="832"/>
      <c r="CH86" s="832"/>
      <c r="CI86" s="832"/>
      <c r="CJ86" s="832"/>
      <c r="CK86" s="832"/>
      <c r="CL86" s="832"/>
      <c r="CM86" s="832"/>
      <c r="CN86" s="832"/>
      <c r="CO86" s="832"/>
      <c r="CP86" s="832"/>
      <c r="CQ86" s="832"/>
      <c r="CR86" s="832"/>
      <c r="CS86" s="832"/>
      <c r="CT86" s="832"/>
      <c r="CU86" s="832"/>
      <c r="CV86" s="832"/>
      <c r="CW86" s="832"/>
      <c r="CX86" s="832"/>
      <c r="CY86" s="832"/>
      <c r="CZ86" s="832"/>
      <c r="DA86" s="832"/>
      <c r="DB86" s="832"/>
      <c r="DC86" s="832"/>
      <c r="DD86" s="832"/>
      <c r="DE86" s="832"/>
      <c r="DF86" s="832"/>
      <c r="DG86" s="832"/>
      <c r="DH86" s="832"/>
      <c r="DI86" s="832"/>
      <c r="DJ86" s="832"/>
      <c r="DK86" s="832"/>
      <c r="DL86" s="832"/>
      <c r="DM86" s="832"/>
      <c r="DN86" s="832"/>
      <c r="DO86" s="832"/>
      <c r="DP86" s="832"/>
      <c r="DQ86" s="832"/>
      <c r="DR86" s="832"/>
      <c r="DS86" s="832"/>
      <c r="DT86" s="832"/>
      <c r="DU86" s="832"/>
      <c r="DV86" s="832"/>
      <c r="DW86" s="832"/>
      <c r="DX86" s="832"/>
      <c r="DY86" s="832"/>
      <c r="DZ86" s="832"/>
      <c r="EA86" s="832"/>
      <c r="EB86" s="832"/>
      <c r="EC86" s="832"/>
      <c r="ED86" s="832"/>
      <c r="EE86" s="832"/>
      <c r="EF86" s="832"/>
      <c r="EG86" s="832"/>
      <c r="EH86" s="832"/>
      <c r="EI86" s="832"/>
      <c r="EJ86" s="832"/>
      <c r="EK86" s="832"/>
      <c r="EL86" s="832"/>
      <c r="EM86" s="832"/>
      <c r="EN86" s="832"/>
      <c r="EO86" s="832"/>
      <c r="EP86" s="832"/>
      <c r="EQ86" s="832"/>
      <c r="ER86" s="832"/>
      <c r="ES86" s="832"/>
      <c r="ET86" s="832"/>
      <c r="EU86" s="832"/>
      <c r="EV86" s="832"/>
      <c r="EW86" s="832"/>
      <c r="EX86" s="832"/>
      <c r="EY86" s="832"/>
      <c r="EZ86" s="832"/>
      <c r="FA86" s="832"/>
      <c r="FB86" s="832"/>
      <c r="FC86" s="832"/>
      <c r="FD86" s="832"/>
      <c r="FE86" s="832"/>
      <c r="FF86" s="832"/>
      <c r="FG86" s="832"/>
      <c r="FH86" s="832"/>
      <c r="FI86" s="832"/>
      <c r="FJ86" s="832"/>
      <c r="FK86" s="832"/>
      <c r="FL86" s="832"/>
      <c r="FM86" s="832"/>
      <c r="FN86" s="832"/>
      <c r="FO86" s="832"/>
      <c r="FP86" s="832"/>
      <c r="FQ86" s="832"/>
      <c r="FR86" s="832"/>
      <c r="FS86" s="832"/>
      <c r="FT86" s="832"/>
      <c r="FU86" s="832"/>
      <c r="FV86" s="832"/>
      <c r="FW86" s="832"/>
      <c r="FX86" s="832"/>
      <c r="FY86" s="832"/>
      <c r="FZ86" s="832"/>
      <c r="GA86" s="832"/>
      <c r="GB86" s="832"/>
      <c r="GC86" s="832"/>
      <c r="GD86" s="832"/>
      <c r="GE86" s="832"/>
      <c r="GF86" s="832"/>
      <c r="GG86" s="832"/>
      <c r="GH86" s="832"/>
      <c r="GI86" s="832"/>
      <c r="GJ86" s="832"/>
      <c r="GK86" s="832"/>
      <c r="GL86" s="832"/>
      <c r="GM86" s="832"/>
      <c r="GN86" s="832"/>
      <c r="GO86" s="832"/>
      <c r="GP86" s="832"/>
      <c r="GQ86" s="832"/>
      <c r="GR86" s="832"/>
      <c r="GS86" s="832"/>
      <c r="GT86" s="832"/>
      <c r="GU86" s="832"/>
      <c r="GV86" s="832"/>
      <c r="GW86" s="832"/>
      <c r="GX86" s="832"/>
      <c r="GY86" s="832"/>
      <c r="GZ86" s="832"/>
      <c r="HA86" s="832"/>
      <c r="HB86" s="832"/>
      <c r="HC86" s="832"/>
      <c r="HD86" s="832"/>
      <c r="HE86" s="832"/>
      <c r="HF86" s="832"/>
      <c r="HG86" s="832"/>
      <c r="HH86" s="832"/>
      <c r="HI86" s="832"/>
      <c r="HJ86" s="832"/>
      <c r="HK86" s="832"/>
      <c r="HL86" s="832"/>
      <c r="HM86" s="832"/>
      <c r="HN86" s="832"/>
      <c r="HO86" s="832"/>
      <c r="HP86" s="832"/>
      <c r="HQ86" s="832"/>
      <c r="HR86" s="832"/>
      <c r="HS86" s="832"/>
      <c r="HT86" s="832"/>
      <c r="HU86" s="832"/>
      <c r="HV86" s="832"/>
      <c r="HW86" s="832"/>
      <c r="HX86" s="832"/>
      <c r="HY86" s="832"/>
      <c r="HZ86" s="832"/>
      <c r="IA86" s="832"/>
      <c r="IB86" s="832"/>
      <c r="IC86" s="832"/>
      <c r="ID86" s="832"/>
      <c r="IE86" s="832"/>
      <c r="IF86" s="832"/>
      <c r="IG86" s="832"/>
      <c r="IH86" s="832"/>
      <c r="II86" s="832"/>
      <c r="IJ86" s="832"/>
      <c r="IK86" s="832"/>
      <c r="IL86" s="832"/>
      <c r="IM86" s="832"/>
      <c r="IN86" s="832"/>
      <c r="IO86" s="832"/>
      <c r="IP86" s="832"/>
      <c r="IQ86" s="832"/>
      <c r="IR86" s="832"/>
      <c r="IS86" s="832"/>
      <c r="IT86" s="832"/>
      <c r="IU86" s="832"/>
      <c r="IV86" s="832"/>
      <c r="IW86" s="832"/>
      <c r="IX86" s="832"/>
      <c r="IY86" s="832"/>
      <c r="IZ86" s="832"/>
      <c r="JA86" s="832"/>
      <c r="JB86" s="832"/>
      <c r="JC86" s="832"/>
      <c r="JD86" s="832"/>
      <c r="JE86" s="832"/>
      <c r="JF86" s="832"/>
      <c r="JG86" s="832"/>
      <c r="JH86" s="832"/>
      <c r="JI86" s="832"/>
      <c r="JJ86" s="832"/>
      <c r="JK86" s="832"/>
      <c r="JL86" s="832"/>
      <c r="JM86" s="832"/>
      <c r="JN86" s="832"/>
      <c r="JO86" s="832"/>
      <c r="JP86" s="832"/>
      <c r="JQ86" s="832"/>
      <c r="JR86" s="832"/>
      <c r="JS86" s="832"/>
      <c r="JT86" s="832"/>
      <c r="JU86" s="832"/>
      <c r="JV86" s="832"/>
      <c r="JW86" s="832"/>
      <c r="JX86" s="832"/>
      <c r="JY86" s="832"/>
      <c r="JZ86" s="832"/>
      <c r="KA86" s="832"/>
      <c r="KB86" s="832"/>
      <c r="KC86" s="832"/>
      <c r="KD86" s="832"/>
      <c r="KE86" s="832"/>
      <c r="KF86" s="832"/>
      <c r="KG86" s="832"/>
      <c r="KH86" s="832"/>
      <c r="KI86" s="832"/>
      <c r="KJ86" s="832"/>
      <c r="KK86" s="832"/>
      <c r="KL86" s="832"/>
      <c r="KM86" s="832"/>
      <c r="KN86" s="832"/>
      <c r="KO86" s="832"/>
      <c r="KP86" s="832"/>
      <c r="KQ86" s="832"/>
      <c r="KR86" s="832"/>
      <c r="KS86" s="832"/>
      <c r="KT86" s="832"/>
      <c r="KU86" s="832"/>
      <c r="KV86" s="832"/>
      <c r="KW86" s="832"/>
      <c r="KX86" s="832"/>
      <c r="KY86" s="832"/>
      <c r="KZ86" s="832"/>
      <c r="LA86" s="832"/>
      <c r="LB86" s="832"/>
      <c r="LC86" s="832"/>
      <c r="LD86" s="832"/>
      <c r="LE86" s="832"/>
      <c r="LF86" s="832"/>
      <c r="LG86" s="832"/>
      <c r="LH86" s="832"/>
      <c r="LI86" s="832"/>
      <c r="LJ86" s="832"/>
      <c r="LK86" s="832"/>
      <c r="LL86" s="832"/>
      <c r="LM86" s="832"/>
      <c r="LN86" s="832"/>
      <c r="LO86" s="832"/>
      <c r="LP86" s="832"/>
      <c r="LQ86" s="832"/>
      <c r="LR86" s="832"/>
      <c r="LS86" s="832"/>
      <c r="LT86" s="832"/>
      <c r="LU86" s="832"/>
      <c r="LV86" s="832"/>
      <c r="LW86" s="832"/>
      <c r="LX86" s="832"/>
      <c r="LY86" s="832"/>
      <c r="LZ86" s="832"/>
      <c r="MA86" s="832"/>
      <c r="MB86" s="832"/>
      <c r="MC86" s="832"/>
      <c r="MD86" s="832"/>
      <c r="ME86" s="832"/>
      <c r="MF86" s="832"/>
      <c r="MG86" s="832"/>
      <c r="MH86" s="832"/>
      <c r="MI86" s="832"/>
      <c r="MJ86" s="832"/>
      <c r="MK86" s="832"/>
      <c r="ML86" s="832"/>
      <c r="MM86" s="832"/>
      <c r="MN86" s="832"/>
      <c r="MO86" s="832"/>
      <c r="MP86" s="832"/>
      <c r="MQ86" s="832"/>
      <c r="MR86" s="832"/>
      <c r="MS86" s="832"/>
      <c r="MT86" s="832"/>
      <c r="MU86" s="832"/>
      <c r="MV86" s="832"/>
      <c r="MW86" s="832"/>
      <c r="MX86" s="832"/>
      <c r="MY86" s="832"/>
      <c r="MZ86" s="832"/>
      <c r="NA86" s="832"/>
      <c r="NB86" s="832"/>
      <c r="NC86" s="832"/>
      <c r="ND86" s="832"/>
      <c r="NE86" s="832"/>
      <c r="NF86" s="832"/>
      <c r="NG86" s="832"/>
      <c r="NH86" s="832"/>
      <c r="NI86" s="832"/>
      <c r="NJ86" s="832"/>
      <c r="NK86" s="832"/>
      <c r="NL86" s="832"/>
      <c r="NM86" s="832"/>
      <c r="NN86" s="832"/>
      <c r="NO86" s="832"/>
      <c r="NP86" s="832"/>
      <c r="NQ86" s="832"/>
      <c r="NR86" s="832"/>
      <c r="NS86" s="832"/>
      <c r="NT86" s="832"/>
      <c r="NU86" s="832"/>
      <c r="NV86" s="832"/>
      <c r="NW86" s="832"/>
      <c r="NX86" s="832"/>
      <c r="NY86" s="832"/>
      <c r="NZ86" s="832"/>
      <c r="OA86" s="832"/>
      <c r="OB86" s="832"/>
      <c r="OC86" s="832"/>
      <c r="OD86" s="832"/>
      <c r="OE86" s="832"/>
      <c r="OF86" s="832"/>
      <c r="OG86" s="832"/>
      <c r="OH86" s="832"/>
      <c r="OI86" s="832"/>
      <c r="OJ86" s="832"/>
      <c r="OK86" s="832"/>
      <c r="OL86" s="832"/>
      <c r="OM86" s="832"/>
      <c r="ON86" s="832"/>
      <c r="OO86" s="832"/>
      <c r="OP86" s="832"/>
      <c r="OQ86" s="832"/>
      <c r="OR86" s="832"/>
      <c r="OS86" s="832"/>
      <c r="OT86" s="832"/>
      <c r="OU86" s="832"/>
      <c r="OV86" s="832"/>
      <c r="OW86" s="832"/>
      <c r="OX86" s="832"/>
      <c r="OY86" s="832"/>
      <c r="OZ86" s="832"/>
      <c r="PA86" s="832"/>
      <c r="PB86" s="832"/>
      <c r="PC86" s="832"/>
      <c r="PD86" s="832"/>
      <c r="PE86" s="832"/>
      <c r="PF86" s="832"/>
      <c r="PG86" s="832"/>
      <c r="PH86" s="832"/>
      <c r="PI86" s="832"/>
      <c r="PJ86" s="832"/>
      <c r="PK86" s="832"/>
      <c r="PL86" s="832"/>
      <c r="PM86" s="832"/>
      <c r="PN86" s="832"/>
      <c r="PO86" s="832"/>
      <c r="PP86" s="832"/>
      <c r="PQ86" s="832"/>
      <c r="PR86" s="832"/>
      <c r="PS86" s="832"/>
      <c r="PT86" s="832"/>
      <c r="PU86" s="832"/>
      <c r="PV86" s="832"/>
      <c r="PW86" s="832"/>
      <c r="PX86" s="832"/>
      <c r="PY86" s="832"/>
      <c r="PZ86" s="832"/>
      <c r="QA86" s="832"/>
      <c r="QB86" s="832"/>
      <c r="QC86" s="832"/>
      <c r="QD86" s="832"/>
      <c r="QE86" s="832"/>
      <c r="QF86" s="832"/>
      <c r="QG86" s="832"/>
      <c r="QH86" s="832"/>
      <c r="QI86" s="832"/>
      <c r="QJ86" s="832"/>
      <c r="QK86" s="832"/>
      <c r="QL86" s="832"/>
      <c r="QM86" s="832"/>
      <c r="QN86" s="832"/>
      <c r="QO86" s="832"/>
      <c r="QP86" s="832"/>
      <c r="QQ86" s="832"/>
      <c r="QR86" s="832"/>
      <c r="QS86" s="832"/>
      <c r="QT86" s="832"/>
      <c r="QU86" s="832"/>
      <c r="QV86" s="832"/>
      <c r="QW86" s="832"/>
      <c r="QX86" s="832"/>
      <c r="QY86" s="832"/>
      <c r="QZ86" s="832"/>
      <c r="RA86" s="832"/>
      <c r="RB86" s="832"/>
      <c r="RC86" s="832"/>
      <c r="RD86" s="832"/>
      <c r="RE86" s="832"/>
      <c r="RF86" s="832"/>
      <c r="RG86" s="832"/>
      <c r="RH86" s="832"/>
      <c r="RI86" s="832"/>
      <c r="RJ86" s="832"/>
      <c r="RK86" s="832"/>
      <c r="RL86" s="832"/>
      <c r="RM86" s="832"/>
      <c r="RN86" s="832"/>
      <c r="RO86" s="832"/>
      <c r="RP86" s="832"/>
      <c r="RQ86" s="832"/>
      <c r="RR86" s="832"/>
      <c r="RS86" s="832"/>
      <c r="RT86" s="832"/>
      <c r="RU86" s="832"/>
      <c r="RV86" s="832"/>
      <c r="RW86" s="832"/>
      <c r="RX86" s="832"/>
      <c r="RY86" s="832"/>
      <c r="RZ86" s="832"/>
      <c r="SA86" s="832"/>
      <c r="SB86" s="832"/>
      <c r="SC86" s="832"/>
      <c r="SD86" s="832"/>
      <c r="SE86" s="832"/>
      <c r="SF86" s="832"/>
      <c r="SG86" s="832"/>
      <c r="SH86" s="832"/>
      <c r="SI86" s="832"/>
      <c r="SJ86" s="832"/>
      <c r="SK86" s="832"/>
      <c r="SL86" s="832"/>
      <c r="SM86" s="832"/>
      <c r="SN86" s="832"/>
      <c r="SO86" s="832"/>
      <c r="SP86" s="832"/>
      <c r="SQ86" s="832"/>
      <c r="SR86" s="832"/>
      <c r="SS86" s="832"/>
      <c r="ST86" s="832"/>
      <c r="SU86" s="832"/>
      <c r="SV86" s="832"/>
      <c r="SW86" s="832"/>
      <c r="SX86" s="832"/>
      <c r="SY86" s="832"/>
      <c r="SZ86" s="832"/>
      <c r="TA86" s="832"/>
      <c r="TB86" s="832"/>
      <c r="TC86" s="832"/>
      <c r="TD86" s="832"/>
      <c r="TE86" s="832"/>
      <c r="TF86" s="832"/>
      <c r="TG86" s="832"/>
      <c r="TH86" s="832"/>
      <c r="TI86" s="832"/>
      <c r="TJ86" s="832"/>
      <c r="TK86" s="832"/>
      <c r="TL86" s="832"/>
      <c r="TM86" s="832"/>
      <c r="TN86" s="832"/>
      <c r="TO86" s="832"/>
      <c r="TP86" s="832"/>
      <c r="TQ86" s="832"/>
      <c r="TR86" s="832"/>
      <c r="TS86" s="832"/>
      <c r="TT86" s="832"/>
      <c r="TU86" s="832"/>
      <c r="TV86" s="832"/>
      <c r="TW86" s="832"/>
      <c r="TX86" s="832"/>
      <c r="TY86" s="832"/>
      <c r="TZ86" s="832"/>
      <c r="UA86" s="832"/>
      <c r="UB86" s="832"/>
      <c r="UC86" s="832"/>
      <c r="UD86" s="832"/>
      <c r="UE86" s="832"/>
      <c r="UF86" s="832"/>
      <c r="UG86" s="832"/>
      <c r="UH86" s="832"/>
      <c r="UI86" s="832"/>
      <c r="UJ86" s="832"/>
      <c r="UK86" s="832"/>
      <c r="UL86" s="832"/>
      <c r="UM86" s="832"/>
      <c r="UN86" s="832"/>
      <c r="UO86" s="832"/>
      <c r="UP86" s="832"/>
      <c r="UQ86" s="832"/>
      <c r="UR86" s="832"/>
      <c r="US86" s="832"/>
      <c r="UT86" s="832"/>
      <c r="UU86" s="832"/>
      <c r="UV86" s="832"/>
      <c r="UW86" s="832"/>
      <c r="UX86" s="832"/>
      <c r="UY86" s="832"/>
      <c r="UZ86" s="832"/>
      <c r="VA86" s="832"/>
      <c r="VB86" s="832"/>
      <c r="VC86" s="832"/>
      <c r="VD86" s="832"/>
      <c r="VE86" s="832"/>
      <c r="VF86" s="832"/>
      <c r="VG86" s="832"/>
      <c r="VH86" s="832"/>
      <c r="VI86" s="832"/>
      <c r="VJ86" s="832"/>
      <c r="VK86" s="832"/>
      <c r="VL86" s="832"/>
      <c r="VM86" s="832"/>
      <c r="VN86" s="832"/>
      <c r="VO86" s="832"/>
      <c r="VP86" s="832"/>
      <c r="VQ86" s="832"/>
      <c r="VR86" s="832"/>
      <c r="VS86" s="832"/>
      <c r="VT86" s="832"/>
      <c r="VU86" s="832"/>
      <c r="VV86" s="832"/>
      <c r="VW86" s="832"/>
      <c r="VX86" s="832"/>
      <c r="VY86" s="832"/>
      <c r="VZ86" s="832"/>
      <c r="WA86" s="832"/>
      <c r="WB86" s="832"/>
      <c r="WC86" s="832"/>
      <c r="WD86" s="832"/>
      <c r="WE86" s="832"/>
      <c r="WF86" s="832"/>
      <c r="WG86" s="832"/>
      <c r="WH86" s="832"/>
      <c r="WI86" s="832"/>
      <c r="WJ86" s="832"/>
      <c r="WK86" s="832"/>
      <c r="WL86" s="832"/>
      <c r="WM86" s="832"/>
      <c r="WN86" s="832"/>
      <c r="WO86" s="832"/>
      <c r="WP86" s="832"/>
      <c r="WQ86" s="832"/>
      <c r="WR86" s="832"/>
      <c r="WS86" s="832"/>
      <c r="WT86" s="832"/>
      <c r="WU86" s="832"/>
      <c r="WV86" s="832"/>
      <c r="WW86" s="832"/>
      <c r="WX86" s="832"/>
      <c r="WY86" s="832"/>
      <c r="WZ86" s="832"/>
      <c r="XA86" s="832"/>
      <c r="XB86" s="832"/>
      <c r="XC86" s="832"/>
      <c r="XD86" s="832"/>
      <c r="XE86" s="832"/>
      <c r="XF86" s="832"/>
      <c r="XG86" s="832"/>
      <c r="XH86" s="832"/>
      <c r="XI86" s="832"/>
      <c r="XJ86" s="832"/>
      <c r="XK86" s="832"/>
      <c r="XL86" s="832"/>
      <c r="XM86" s="832"/>
      <c r="XN86" s="832"/>
      <c r="XO86" s="832"/>
      <c r="XP86" s="832"/>
      <c r="XQ86" s="832"/>
      <c r="XR86" s="832"/>
      <c r="XS86" s="832"/>
      <c r="XT86" s="832"/>
      <c r="XU86" s="832"/>
      <c r="XV86" s="832"/>
      <c r="XW86" s="832"/>
      <c r="XX86" s="832"/>
      <c r="XY86" s="832"/>
      <c r="XZ86" s="832"/>
      <c r="YA86" s="832"/>
      <c r="YB86" s="832"/>
      <c r="YC86" s="832"/>
      <c r="YD86" s="832"/>
      <c r="YE86" s="832"/>
      <c r="YF86" s="832"/>
      <c r="YG86" s="832"/>
      <c r="YH86" s="832"/>
      <c r="YI86" s="832"/>
      <c r="YJ86" s="832"/>
      <c r="YK86" s="832"/>
      <c r="YL86" s="832"/>
      <c r="YM86" s="832"/>
      <c r="YN86" s="832"/>
      <c r="YO86" s="832"/>
      <c r="YP86" s="832"/>
      <c r="YQ86" s="832"/>
      <c r="YR86" s="832"/>
      <c r="YS86" s="832"/>
      <c r="YT86" s="832"/>
      <c r="YU86" s="832"/>
      <c r="YV86" s="832"/>
      <c r="YW86" s="832"/>
      <c r="YX86" s="832"/>
      <c r="YY86" s="832"/>
      <c r="YZ86" s="832"/>
      <c r="ZA86" s="832"/>
      <c r="ZB86" s="832"/>
      <c r="ZC86" s="832"/>
      <c r="ZD86" s="832"/>
      <c r="ZE86" s="832"/>
      <c r="ZF86" s="832"/>
      <c r="ZG86" s="832"/>
      <c r="ZH86" s="832"/>
      <c r="ZI86" s="832"/>
      <c r="ZJ86" s="832"/>
      <c r="ZK86" s="832"/>
      <c r="ZL86" s="832"/>
      <c r="ZM86" s="832"/>
      <c r="ZN86" s="832"/>
      <c r="ZO86" s="832"/>
      <c r="ZP86" s="832"/>
      <c r="ZQ86" s="832"/>
      <c r="ZR86" s="832"/>
      <c r="ZS86" s="832"/>
      <c r="ZT86" s="832"/>
      <c r="ZU86" s="832"/>
      <c r="ZV86" s="832"/>
      <c r="ZW86" s="832"/>
      <c r="ZX86" s="832"/>
      <c r="ZY86" s="832"/>
      <c r="ZZ86" s="832"/>
      <c r="AAA86" s="832"/>
      <c r="AAB86" s="832"/>
      <c r="AAC86" s="832"/>
      <c r="AAD86" s="832"/>
      <c r="AAE86" s="832"/>
      <c r="AAF86" s="832"/>
      <c r="AAG86" s="832"/>
      <c r="AAH86" s="832"/>
      <c r="AAI86" s="832"/>
      <c r="AAJ86" s="832"/>
      <c r="AAK86" s="832"/>
      <c r="AAL86" s="832"/>
      <c r="AAM86" s="832"/>
      <c r="AAN86" s="832"/>
      <c r="AAO86" s="832"/>
      <c r="AAP86" s="832"/>
      <c r="AAQ86" s="832"/>
      <c r="AAR86" s="832"/>
      <c r="AAS86" s="832"/>
      <c r="AAT86" s="832"/>
      <c r="AAU86" s="832"/>
      <c r="AAV86" s="832"/>
      <c r="AAW86" s="832"/>
      <c r="AAX86" s="832"/>
      <c r="AAY86" s="832"/>
      <c r="AAZ86" s="832"/>
      <c r="ABA86" s="832"/>
      <c r="ABB86" s="832"/>
      <c r="ABC86" s="832"/>
      <c r="ABD86" s="832"/>
      <c r="ABE86" s="832"/>
      <c r="ABF86" s="832"/>
      <c r="ABG86" s="832"/>
      <c r="ABH86" s="832"/>
      <c r="ABI86" s="832"/>
      <c r="ABJ86" s="832"/>
      <c r="ABK86" s="832"/>
      <c r="ABL86" s="832"/>
      <c r="ABM86" s="832"/>
      <c r="ABN86" s="832"/>
      <c r="ABO86" s="832"/>
      <c r="ABP86" s="832"/>
      <c r="ABQ86" s="832"/>
      <c r="ABR86" s="832"/>
      <c r="ABS86" s="832"/>
      <c r="ABT86" s="832"/>
      <c r="ABU86" s="832"/>
      <c r="ABV86" s="832"/>
      <c r="ABW86" s="832"/>
      <c r="ABX86" s="832"/>
      <c r="ABY86" s="832"/>
      <c r="ABZ86" s="832"/>
      <c r="ACA86" s="832"/>
      <c r="ACB86" s="832"/>
      <c r="ACC86" s="832"/>
      <c r="ACD86" s="832"/>
      <c r="ACE86" s="832"/>
      <c r="ACF86" s="832"/>
      <c r="ACG86" s="832"/>
      <c r="ACH86" s="832"/>
      <c r="ACI86" s="832"/>
      <c r="ACJ86" s="832"/>
      <c r="ACK86" s="832"/>
      <c r="ACL86" s="832"/>
      <c r="ACM86" s="832"/>
      <c r="ACN86" s="832"/>
      <c r="ACO86" s="832"/>
      <c r="ACP86" s="832"/>
      <c r="ACQ86" s="832"/>
      <c r="ACR86" s="832"/>
      <c r="ACS86" s="832"/>
      <c r="ACT86" s="832"/>
      <c r="ACU86" s="832"/>
      <c r="ACV86" s="832"/>
      <c r="ACW86" s="832"/>
      <c r="ACX86" s="832"/>
      <c r="ACY86" s="832"/>
      <c r="ACZ86" s="832"/>
      <c r="ADA86" s="832"/>
      <c r="ADB86" s="832"/>
      <c r="ADC86" s="832"/>
      <c r="ADD86" s="832"/>
      <c r="ADE86" s="832"/>
      <c r="ADF86" s="832"/>
      <c r="ADG86" s="832"/>
      <c r="ADH86" s="832"/>
      <c r="ADI86" s="832"/>
      <c r="ADJ86" s="832"/>
      <c r="ADK86" s="832"/>
      <c r="ADL86" s="832"/>
      <c r="ADM86" s="832"/>
      <c r="ADN86" s="832"/>
      <c r="ADO86" s="832"/>
      <c r="ADP86" s="832"/>
      <c r="ADQ86" s="832"/>
      <c r="ADR86" s="832"/>
      <c r="ADS86" s="832"/>
      <c r="ADT86" s="832"/>
      <c r="ADU86" s="832"/>
      <c r="ADV86" s="832"/>
      <c r="ADW86" s="832"/>
      <c r="ADX86" s="832"/>
      <c r="ADY86" s="832"/>
      <c r="ADZ86" s="832"/>
      <c r="AEA86" s="832"/>
      <c r="AEB86" s="832"/>
      <c r="AEC86" s="832"/>
      <c r="AED86" s="832"/>
      <c r="AEE86" s="832"/>
      <c r="AEF86" s="832"/>
      <c r="AEG86" s="832"/>
      <c r="AEH86" s="832"/>
      <c r="AEI86" s="832"/>
      <c r="AEJ86" s="832"/>
      <c r="AEK86" s="832"/>
      <c r="AEL86" s="832"/>
      <c r="AEM86" s="832"/>
      <c r="AEN86" s="832"/>
      <c r="AEO86" s="832"/>
      <c r="AEP86" s="832"/>
      <c r="AEQ86" s="832"/>
      <c r="AER86" s="832"/>
      <c r="AES86" s="832"/>
      <c r="AET86" s="832"/>
      <c r="AEU86" s="832"/>
      <c r="AEV86" s="832"/>
      <c r="AEW86" s="832"/>
      <c r="AEX86" s="832"/>
      <c r="AEY86" s="832"/>
      <c r="AEZ86" s="832"/>
      <c r="AFA86" s="832"/>
      <c r="AFB86" s="832"/>
      <c r="AFC86" s="832"/>
      <c r="AFD86" s="832"/>
      <c r="AFE86" s="832"/>
      <c r="AFF86" s="832"/>
      <c r="AFG86" s="832"/>
      <c r="AFH86" s="832"/>
      <c r="AFI86" s="832"/>
      <c r="AFJ86" s="832"/>
      <c r="AFK86" s="832"/>
      <c r="AFL86" s="832"/>
      <c r="AFM86" s="832"/>
      <c r="AFN86" s="832"/>
      <c r="AFO86" s="832"/>
      <c r="AFP86" s="832"/>
      <c r="AFQ86" s="832"/>
      <c r="AFR86" s="832"/>
      <c r="AFS86" s="832"/>
      <c r="AFT86" s="832"/>
      <c r="AFU86" s="832"/>
      <c r="AFV86" s="832"/>
      <c r="AFW86" s="832"/>
      <c r="AFX86" s="832"/>
      <c r="AFY86" s="832"/>
      <c r="AFZ86" s="832"/>
      <c r="AGA86" s="832"/>
      <c r="AGB86" s="832"/>
      <c r="AGC86" s="832"/>
      <c r="AGD86" s="832"/>
      <c r="AGE86" s="832"/>
      <c r="AGF86" s="832"/>
      <c r="AGG86" s="832"/>
      <c r="AGH86" s="832"/>
      <c r="AGI86" s="832"/>
      <c r="AGJ86" s="832"/>
      <c r="AGK86" s="832"/>
      <c r="AGL86" s="832"/>
      <c r="AGM86" s="832"/>
      <c r="AGN86" s="832"/>
      <c r="AGO86" s="832"/>
      <c r="AGP86" s="832"/>
      <c r="AGQ86" s="832"/>
      <c r="AGR86" s="832"/>
      <c r="AGS86" s="832"/>
      <c r="AGT86" s="832"/>
      <c r="AGU86" s="832"/>
      <c r="AGV86" s="832"/>
      <c r="AGW86" s="832"/>
      <c r="AGX86" s="832"/>
      <c r="AGY86" s="832"/>
      <c r="AGZ86" s="832"/>
      <c r="AHA86" s="832"/>
      <c r="AHB86" s="832"/>
      <c r="AHC86" s="832"/>
      <c r="AHD86" s="832"/>
      <c r="AHE86" s="832"/>
      <c r="AHF86" s="832"/>
      <c r="AHG86" s="832"/>
      <c r="AHH86" s="832"/>
      <c r="AHI86" s="832"/>
      <c r="AHJ86" s="832"/>
      <c r="AHK86" s="832"/>
      <c r="AHL86" s="832"/>
      <c r="AHM86" s="832"/>
      <c r="AHN86" s="832"/>
      <c r="AHO86" s="832"/>
      <c r="AHP86" s="832"/>
      <c r="AHQ86" s="832"/>
      <c r="AHR86" s="832"/>
      <c r="AHS86" s="832"/>
      <c r="AHT86" s="832"/>
      <c r="AHU86" s="832"/>
      <c r="AHV86" s="832"/>
      <c r="AHW86" s="832"/>
      <c r="AHX86" s="832"/>
      <c r="AHY86" s="832"/>
      <c r="AHZ86" s="832"/>
      <c r="AIA86" s="832"/>
      <c r="AIB86" s="832"/>
      <c r="AIC86" s="832"/>
      <c r="AID86" s="832"/>
      <c r="AIE86" s="832"/>
      <c r="AIF86" s="832"/>
      <c r="AIG86" s="832"/>
      <c r="AIH86" s="832"/>
      <c r="AII86" s="832"/>
      <c r="AIJ86" s="832"/>
      <c r="AIK86" s="832"/>
      <c r="AIL86" s="832"/>
      <c r="AIM86" s="832"/>
      <c r="AIN86" s="832"/>
      <c r="AIO86" s="832"/>
      <c r="AIP86" s="832"/>
      <c r="AIQ86" s="832"/>
      <c r="AIR86" s="832"/>
      <c r="AIS86" s="832"/>
      <c r="AIT86" s="832"/>
      <c r="AIU86" s="832"/>
      <c r="AIV86" s="832"/>
      <c r="AIW86" s="832"/>
      <c r="AIX86" s="832"/>
      <c r="AIY86" s="832"/>
      <c r="AIZ86" s="832"/>
      <c r="AJA86" s="832"/>
      <c r="AJB86" s="832"/>
      <c r="AJC86" s="832"/>
      <c r="AJD86" s="832"/>
      <c r="AJE86" s="832"/>
      <c r="AJF86" s="832"/>
      <c r="AJG86" s="832"/>
      <c r="AJH86" s="832"/>
      <c r="AJI86" s="832"/>
      <c r="AJJ86" s="832"/>
      <c r="AJK86" s="832"/>
      <c r="AJL86" s="832"/>
      <c r="AJM86" s="832"/>
      <c r="AJN86" s="832"/>
      <c r="AJO86" s="832"/>
      <c r="AJP86" s="832"/>
      <c r="AJQ86" s="832"/>
      <c r="AJR86" s="832"/>
      <c r="AJS86" s="832"/>
      <c r="AJT86" s="832"/>
      <c r="AJU86" s="832"/>
      <c r="AJV86" s="832"/>
      <c r="AJW86" s="832"/>
      <c r="AJX86" s="832"/>
      <c r="AJY86" s="832"/>
      <c r="AJZ86" s="832"/>
      <c r="AKA86" s="832"/>
      <c r="AKB86" s="832"/>
      <c r="AKC86" s="832"/>
      <c r="AKD86" s="832"/>
      <c r="AKE86" s="832"/>
      <c r="AKF86" s="832"/>
      <c r="AKG86" s="832"/>
      <c r="AKH86" s="832"/>
      <c r="AKI86" s="832"/>
      <c r="AKJ86" s="832"/>
      <c r="AKK86" s="832"/>
      <c r="AKL86" s="832"/>
      <c r="AKM86" s="832"/>
      <c r="AKN86" s="832"/>
      <c r="AKO86" s="832"/>
      <c r="AKP86" s="832"/>
      <c r="AKQ86" s="832"/>
      <c r="AKR86" s="832"/>
      <c r="AKS86" s="832"/>
      <c r="AKT86" s="832"/>
      <c r="AKU86" s="832"/>
      <c r="AKV86" s="832"/>
      <c r="AKW86" s="832"/>
      <c r="AKX86" s="832"/>
      <c r="AKY86" s="832"/>
      <c r="AKZ86" s="832"/>
      <c r="ALA86" s="832"/>
      <c r="ALB86" s="832"/>
      <c r="ALC86" s="832"/>
      <c r="ALD86" s="832"/>
      <c r="ALE86" s="832"/>
      <c r="ALF86" s="832"/>
      <c r="ALG86" s="832"/>
      <c r="ALH86" s="832"/>
      <c r="ALI86" s="832"/>
      <c r="ALJ86" s="832"/>
      <c r="ALK86" s="832"/>
      <c r="ALL86" s="832"/>
      <c r="ALM86" s="832"/>
      <c r="ALN86" s="832"/>
      <c r="ALO86" s="832"/>
      <c r="ALP86" s="832"/>
      <c r="ALQ86" s="832"/>
      <c r="ALR86" s="832"/>
      <c r="ALS86" s="832"/>
      <c r="ALT86" s="832"/>
      <c r="ALU86" s="832"/>
      <c r="ALV86" s="832"/>
      <c r="ALW86" s="832"/>
      <c r="ALX86" s="832"/>
      <c r="ALY86" s="832"/>
      <c r="ALZ86" s="832"/>
      <c r="AMA86" s="832"/>
      <c r="AMB86" s="832"/>
      <c r="AMC86" s="832"/>
      <c r="AMD86" s="832"/>
      <c r="AME86" s="832"/>
      <c r="AMF86" s="832"/>
      <c r="AMG86" s="832"/>
      <c r="AMH86" s="832"/>
      <c r="AMI86" s="832"/>
      <c r="AMJ86" s="832"/>
      <c r="AMK86" s="832"/>
      <c r="AML86" s="832"/>
    </row>
    <row r="87" spans="1:1026" s="388" customFormat="1" ht="40.5" customHeight="1">
      <c r="A87" s="885"/>
      <c r="B87" s="891" t="s">
        <v>199</v>
      </c>
      <c r="C87" s="886" t="s">
        <v>200</v>
      </c>
      <c r="D87" s="451" t="s">
        <v>201</v>
      </c>
      <c r="E87" s="886" t="s">
        <v>27</v>
      </c>
      <c r="F87" s="931">
        <f>(Esquadrias!I54)*(0.2)</f>
        <v>19.682000000000002</v>
      </c>
      <c r="G87" s="932">
        <f>K87</f>
        <v>1456.51</v>
      </c>
      <c r="H87" s="889">
        <f t="shared" si="7"/>
        <v>28667.029820000003</v>
      </c>
      <c r="I87" s="885"/>
      <c r="J87" s="915">
        <v>1150.3900000000001</v>
      </c>
      <c r="K87" s="916">
        <f t="shared" si="8"/>
        <v>1456.51</v>
      </c>
      <c r="L87" s="832"/>
      <c r="M87" s="832"/>
      <c r="N87" s="832"/>
      <c r="O87" s="832"/>
      <c r="P87" s="832"/>
      <c r="Q87" s="832"/>
      <c r="R87" s="832"/>
      <c r="S87" s="832"/>
      <c r="T87" s="832"/>
      <c r="U87" s="832"/>
      <c r="V87" s="832"/>
      <c r="W87" s="832"/>
      <c r="X87" s="832"/>
      <c r="Y87" s="832"/>
      <c r="Z87" s="832"/>
      <c r="AA87" s="832"/>
      <c r="AB87" s="832"/>
      <c r="AC87" s="832"/>
      <c r="AD87" s="832"/>
      <c r="AE87" s="832"/>
      <c r="AF87" s="832"/>
      <c r="AG87" s="832"/>
      <c r="AH87" s="832"/>
      <c r="AI87" s="832"/>
      <c r="AJ87" s="832"/>
      <c r="AK87" s="832"/>
      <c r="AL87" s="832"/>
      <c r="AM87" s="832"/>
      <c r="AN87" s="832"/>
      <c r="AO87" s="832"/>
      <c r="AP87" s="832"/>
      <c r="AQ87" s="832"/>
      <c r="AR87" s="832"/>
      <c r="AS87" s="832"/>
      <c r="AT87" s="832"/>
      <c r="AU87" s="832"/>
      <c r="AV87" s="832"/>
      <c r="AW87" s="832"/>
      <c r="AX87" s="832"/>
      <c r="AY87" s="832"/>
      <c r="AZ87" s="832"/>
      <c r="BA87" s="832"/>
      <c r="BB87" s="832"/>
      <c r="BC87" s="832"/>
      <c r="BD87" s="832"/>
      <c r="BE87" s="832"/>
      <c r="BF87" s="832"/>
      <c r="BG87" s="832"/>
      <c r="BH87" s="832"/>
      <c r="BI87" s="832"/>
      <c r="BJ87" s="832"/>
      <c r="BK87" s="832"/>
      <c r="BL87" s="832"/>
      <c r="BM87" s="832"/>
      <c r="BN87" s="832"/>
      <c r="BO87" s="832"/>
      <c r="BP87" s="832"/>
      <c r="BQ87" s="832"/>
      <c r="BR87" s="832"/>
      <c r="BS87" s="832"/>
      <c r="BT87" s="832"/>
      <c r="BU87" s="832"/>
      <c r="BV87" s="832"/>
      <c r="BW87" s="832"/>
      <c r="BX87" s="832"/>
      <c r="BY87" s="832"/>
      <c r="BZ87" s="832"/>
      <c r="CA87" s="832"/>
      <c r="CB87" s="832"/>
      <c r="CC87" s="832"/>
      <c r="CD87" s="832"/>
      <c r="CE87" s="832"/>
      <c r="CF87" s="832"/>
      <c r="CG87" s="832"/>
      <c r="CH87" s="832"/>
      <c r="CI87" s="832"/>
      <c r="CJ87" s="832"/>
      <c r="CK87" s="832"/>
      <c r="CL87" s="832"/>
      <c r="CM87" s="832"/>
      <c r="CN87" s="832"/>
      <c r="CO87" s="832"/>
      <c r="CP87" s="832"/>
      <c r="CQ87" s="832"/>
      <c r="CR87" s="832"/>
      <c r="CS87" s="832"/>
      <c r="CT87" s="832"/>
      <c r="CU87" s="832"/>
      <c r="CV87" s="832"/>
      <c r="CW87" s="832"/>
      <c r="CX87" s="832"/>
      <c r="CY87" s="832"/>
      <c r="CZ87" s="832"/>
      <c r="DA87" s="832"/>
      <c r="DB87" s="832"/>
      <c r="DC87" s="832"/>
      <c r="DD87" s="832"/>
      <c r="DE87" s="832"/>
      <c r="DF87" s="832"/>
      <c r="DG87" s="832"/>
      <c r="DH87" s="832"/>
      <c r="DI87" s="832"/>
      <c r="DJ87" s="832"/>
      <c r="DK87" s="832"/>
      <c r="DL87" s="832"/>
      <c r="DM87" s="832"/>
      <c r="DN87" s="832"/>
      <c r="DO87" s="832"/>
      <c r="DP87" s="832"/>
      <c r="DQ87" s="832"/>
      <c r="DR87" s="832"/>
      <c r="DS87" s="832"/>
      <c r="DT87" s="832"/>
      <c r="DU87" s="832"/>
      <c r="DV87" s="832"/>
      <c r="DW87" s="832"/>
      <c r="DX87" s="832"/>
      <c r="DY87" s="832"/>
      <c r="DZ87" s="832"/>
      <c r="EA87" s="832"/>
      <c r="EB87" s="832"/>
      <c r="EC87" s="832"/>
      <c r="ED87" s="832"/>
      <c r="EE87" s="832"/>
      <c r="EF87" s="832"/>
      <c r="EG87" s="832"/>
      <c r="EH87" s="832"/>
      <c r="EI87" s="832"/>
      <c r="EJ87" s="832"/>
      <c r="EK87" s="832"/>
      <c r="EL87" s="832"/>
      <c r="EM87" s="832"/>
      <c r="EN87" s="832"/>
      <c r="EO87" s="832"/>
      <c r="EP87" s="832"/>
      <c r="EQ87" s="832"/>
      <c r="ER87" s="832"/>
      <c r="ES87" s="832"/>
      <c r="ET87" s="832"/>
      <c r="EU87" s="832"/>
      <c r="EV87" s="832"/>
      <c r="EW87" s="832"/>
      <c r="EX87" s="832"/>
      <c r="EY87" s="832"/>
      <c r="EZ87" s="832"/>
      <c r="FA87" s="832"/>
      <c r="FB87" s="832"/>
      <c r="FC87" s="832"/>
      <c r="FD87" s="832"/>
      <c r="FE87" s="832"/>
      <c r="FF87" s="832"/>
      <c r="FG87" s="832"/>
      <c r="FH87" s="832"/>
      <c r="FI87" s="832"/>
      <c r="FJ87" s="832"/>
      <c r="FK87" s="832"/>
      <c r="FL87" s="832"/>
      <c r="FM87" s="832"/>
      <c r="FN87" s="832"/>
      <c r="FO87" s="832"/>
      <c r="FP87" s="832"/>
      <c r="FQ87" s="832"/>
      <c r="FR87" s="832"/>
      <c r="FS87" s="832"/>
      <c r="FT87" s="832"/>
      <c r="FU87" s="832"/>
      <c r="FV87" s="832"/>
      <c r="FW87" s="832"/>
      <c r="FX87" s="832"/>
      <c r="FY87" s="832"/>
      <c r="FZ87" s="832"/>
      <c r="GA87" s="832"/>
      <c r="GB87" s="832"/>
      <c r="GC87" s="832"/>
      <c r="GD87" s="832"/>
      <c r="GE87" s="832"/>
      <c r="GF87" s="832"/>
      <c r="GG87" s="832"/>
      <c r="GH87" s="832"/>
      <c r="GI87" s="832"/>
      <c r="GJ87" s="832"/>
      <c r="GK87" s="832"/>
      <c r="GL87" s="832"/>
      <c r="GM87" s="832"/>
      <c r="GN87" s="832"/>
      <c r="GO87" s="832"/>
      <c r="GP87" s="832"/>
      <c r="GQ87" s="832"/>
      <c r="GR87" s="832"/>
      <c r="GS87" s="832"/>
      <c r="GT87" s="832"/>
      <c r="GU87" s="832"/>
      <c r="GV87" s="832"/>
      <c r="GW87" s="832"/>
      <c r="GX87" s="832"/>
      <c r="GY87" s="832"/>
      <c r="GZ87" s="832"/>
      <c r="HA87" s="832"/>
      <c r="HB87" s="832"/>
      <c r="HC87" s="832"/>
      <c r="HD87" s="832"/>
      <c r="HE87" s="832"/>
      <c r="HF87" s="832"/>
      <c r="HG87" s="832"/>
      <c r="HH87" s="832"/>
      <c r="HI87" s="832"/>
      <c r="HJ87" s="832"/>
      <c r="HK87" s="832"/>
      <c r="HL87" s="832"/>
      <c r="HM87" s="832"/>
      <c r="HN87" s="832"/>
      <c r="HO87" s="832"/>
      <c r="HP87" s="832"/>
      <c r="HQ87" s="832"/>
      <c r="HR87" s="832"/>
      <c r="HS87" s="832"/>
      <c r="HT87" s="832"/>
      <c r="HU87" s="832"/>
      <c r="HV87" s="832"/>
      <c r="HW87" s="832"/>
      <c r="HX87" s="832"/>
      <c r="HY87" s="832"/>
      <c r="HZ87" s="832"/>
      <c r="IA87" s="832"/>
      <c r="IB87" s="832"/>
      <c r="IC87" s="832"/>
      <c r="ID87" s="832"/>
      <c r="IE87" s="832"/>
      <c r="IF87" s="832"/>
      <c r="IG87" s="832"/>
      <c r="IH87" s="832"/>
      <c r="II87" s="832"/>
      <c r="IJ87" s="832"/>
      <c r="IK87" s="832"/>
      <c r="IL87" s="832"/>
      <c r="IM87" s="832"/>
      <c r="IN87" s="832"/>
      <c r="IO87" s="832"/>
      <c r="IP87" s="832"/>
      <c r="IQ87" s="832"/>
      <c r="IR87" s="832"/>
      <c r="IS87" s="832"/>
      <c r="IT87" s="832"/>
      <c r="IU87" s="832"/>
      <c r="IV87" s="832"/>
      <c r="IW87" s="832"/>
      <c r="IX87" s="832"/>
      <c r="IY87" s="832"/>
      <c r="IZ87" s="832"/>
      <c r="JA87" s="832"/>
      <c r="JB87" s="832"/>
      <c r="JC87" s="832"/>
      <c r="JD87" s="832"/>
      <c r="JE87" s="832"/>
      <c r="JF87" s="832"/>
      <c r="JG87" s="832"/>
      <c r="JH87" s="832"/>
      <c r="JI87" s="832"/>
      <c r="JJ87" s="832"/>
      <c r="JK87" s="832"/>
      <c r="JL87" s="832"/>
      <c r="JM87" s="832"/>
      <c r="JN87" s="832"/>
      <c r="JO87" s="832"/>
      <c r="JP87" s="832"/>
      <c r="JQ87" s="832"/>
      <c r="JR87" s="832"/>
      <c r="JS87" s="832"/>
      <c r="JT87" s="832"/>
      <c r="JU87" s="832"/>
      <c r="JV87" s="832"/>
      <c r="JW87" s="832"/>
      <c r="JX87" s="832"/>
      <c r="JY87" s="832"/>
      <c r="JZ87" s="832"/>
      <c r="KA87" s="832"/>
      <c r="KB87" s="832"/>
      <c r="KC87" s="832"/>
      <c r="KD87" s="832"/>
      <c r="KE87" s="832"/>
      <c r="KF87" s="832"/>
      <c r="KG87" s="832"/>
      <c r="KH87" s="832"/>
      <c r="KI87" s="832"/>
      <c r="KJ87" s="832"/>
      <c r="KK87" s="832"/>
      <c r="KL87" s="832"/>
      <c r="KM87" s="832"/>
      <c r="KN87" s="832"/>
      <c r="KO87" s="832"/>
      <c r="KP87" s="832"/>
      <c r="KQ87" s="832"/>
      <c r="KR87" s="832"/>
      <c r="KS87" s="832"/>
      <c r="KT87" s="832"/>
      <c r="KU87" s="832"/>
      <c r="KV87" s="832"/>
      <c r="KW87" s="832"/>
      <c r="KX87" s="832"/>
      <c r="KY87" s="832"/>
      <c r="KZ87" s="832"/>
      <c r="LA87" s="832"/>
      <c r="LB87" s="832"/>
      <c r="LC87" s="832"/>
      <c r="LD87" s="832"/>
      <c r="LE87" s="832"/>
      <c r="LF87" s="832"/>
      <c r="LG87" s="832"/>
      <c r="LH87" s="832"/>
      <c r="LI87" s="832"/>
      <c r="LJ87" s="832"/>
      <c r="LK87" s="832"/>
      <c r="LL87" s="832"/>
      <c r="LM87" s="832"/>
      <c r="LN87" s="832"/>
      <c r="LO87" s="832"/>
      <c r="LP87" s="832"/>
      <c r="LQ87" s="832"/>
      <c r="LR87" s="832"/>
      <c r="LS87" s="832"/>
      <c r="LT87" s="832"/>
      <c r="LU87" s="832"/>
      <c r="LV87" s="832"/>
      <c r="LW87" s="832"/>
      <c r="LX87" s="832"/>
      <c r="LY87" s="832"/>
      <c r="LZ87" s="832"/>
      <c r="MA87" s="832"/>
      <c r="MB87" s="832"/>
      <c r="MC87" s="832"/>
      <c r="MD87" s="832"/>
      <c r="ME87" s="832"/>
      <c r="MF87" s="832"/>
      <c r="MG87" s="832"/>
      <c r="MH87" s="832"/>
      <c r="MI87" s="832"/>
      <c r="MJ87" s="832"/>
      <c r="MK87" s="832"/>
      <c r="ML87" s="832"/>
      <c r="MM87" s="832"/>
      <c r="MN87" s="832"/>
      <c r="MO87" s="832"/>
      <c r="MP87" s="832"/>
      <c r="MQ87" s="832"/>
      <c r="MR87" s="832"/>
      <c r="MS87" s="832"/>
      <c r="MT87" s="832"/>
      <c r="MU87" s="832"/>
      <c r="MV87" s="832"/>
      <c r="MW87" s="832"/>
      <c r="MX87" s="832"/>
      <c r="MY87" s="832"/>
      <c r="MZ87" s="832"/>
      <c r="NA87" s="832"/>
      <c r="NB87" s="832"/>
      <c r="NC87" s="832"/>
      <c r="ND87" s="832"/>
      <c r="NE87" s="832"/>
      <c r="NF87" s="832"/>
      <c r="NG87" s="832"/>
      <c r="NH87" s="832"/>
      <c r="NI87" s="832"/>
      <c r="NJ87" s="832"/>
      <c r="NK87" s="832"/>
      <c r="NL87" s="832"/>
      <c r="NM87" s="832"/>
      <c r="NN87" s="832"/>
      <c r="NO87" s="832"/>
      <c r="NP87" s="832"/>
      <c r="NQ87" s="832"/>
      <c r="NR87" s="832"/>
      <c r="NS87" s="832"/>
      <c r="NT87" s="832"/>
      <c r="NU87" s="832"/>
      <c r="NV87" s="832"/>
      <c r="NW87" s="832"/>
      <c r="NX87" s="832"/>
      <c r="NY87" s="832"/>
      <c r="NZ87" s="832"/>
      <c r="OA87" s="832"/>
      <c r="OB87" s="832"/>
      <c r="OC87" s="832"/>
      <c r="OD87" s="832"/>
      <c r="OE87" s="832"/>
      <c r="OF87" s="832"/>
      <c r="OG87" s="832"/>
      <c r="OH87" s="832"/>
      <c r="OI87" s="832"/>
      <c r="OJ87" s="832"/>
      <c r="OK87" s="832"/>
      <c r="OL87" s="832"/>
      <c r="OM87" s="832"/>
      <c r="ON87" s="832"/>
      <c r="OO87" s="832"/>
      <c r="OP87" s="832"/>
      <c r="OQ87" s="832"/>
      <c r="OR87" s="832"/>
      <c r="OS87" s="832"/>
      <c r="OT87" s="832"/>
      <c r="OU87" s="832"/>
      <c r="OV87" s="832"/>
      <c r="OW87" s="832"/>
      <c r="OX87" s="832"/>
      <c r="OY87" s="832"/>
      <c r="OZ87" s="832"/>
      <c r="PA87" s="832"/>
      <c r="PB87" s="832"/>
      <c r="PC87" s="832"/>
      <c r="PD87" s="832"/>
      <c r="PE87" s="832"/>
      <c r="PF87" s="832"/>
      <c r="PG87" s="832"/>
      <c r="PH87" s="832"/>
      <c r="PI87" s="832"/>
      <c r="PJ87" s="832"/>
      <c r="PK87" s="832"/>
      <c r="PL87" s="832"/>
      <c r="PM87" s="832"/>
      <c r="PN87" s="832"/>
      <c r="PO87" s="832"/>
      <c r="PP87" s="832"/>
      <c r="PQ87" s="832"/>
      <c r="PR87" s="832"/>
      <c r="PS87" s="832"/>
      <c r="PT87" s="832"/>
      <c r="PU87" s="832"/>
      <c r="PV87" s="832"/>
      <c r="PW87" s="832"/>
      <c r="PX87" s="832"/>
      <c r="PY87" s="832"/>
      <c r="PZ87" s="832"/>
      <c r="QA87" s="832"/>
      <c r="QB87" s="832"/>
      <c r="QC87" s="832"/>
      <c r="QD87" s="832"/>
      <c r="QE87" s="832"/>
      <c r="QF87" s="832"/>
      <c r="QG87" s="832"/>
      <c r="QH87" s="832"/>
      <c r="QI87" s="832"/>
      <c r="QJ87" s="832"/>
      <c r="QK87" s="832"/>
      <c r="QL87" s="832"/>
      <c r="QM87" s="832"/>
      <c r="QN87" s="832"/>
      <c r="QO87" s="832"/>
      <c r="QP87" s="832"/>
      <c r="QQ87" s="832"/>
      <c r="QR87" s="832"/>
      <c r="QS87" s="832"/>
      <c r="QT87" s="832"/>
      <c r="QU87" s="832"/>
      <c r="QV87" s="832"/>
      <c r="QW87" s="832"/>
      <c r="QX87" s="832"/>
      <c r="QY87" s="832"/>
      <c r="QZ87" s="832"/>
      <c r="RA87" s="832"/>
      <c r="RB87" s="832"/>
      <c r="RC87" s="832"/>
      <c r="RD87" s="832"/>
      <c r="RE87" s="832"/>
      <c r="RF87" s="832"/>
      <c r="RG87" s="832"/>
      <c r="RH87" s="832"/>
      <c r="RI87" s="832"/>
      <c r="RJ87" s="832"/>
      <c r="RK87" s="832"/>
      <c r="RL87" s="832"/>
      <c r="RM87" s="832"/>
      <c r="RN87" s="832"/>
      <c r="RO87" s="832"/>
      <c r="RP87" s="832"/>
      <c r="RQ87" s="832"/>
      <c r="RR87" s="832"/>
      <c r="RS87" s="832"/>
      <c r="RT87" s="832"/>
      <c r="RU87" s="832"/>
      <c r="RV87" s="832"/>
      <c r="RW87" s="832"/>
      <c r="RX87" s="832"/>
      <c r="RY87" s="832"/>
      <c r="RZ87" s="832"/>
      <c r="SA87" s="832"/>
      <c r="SB87" s="832"/>
      <c r="SC87" s="832"/>
      <c r="SD87" s="832"/>
      <c r="SE87" s="832"/>
      <c r="SF87" s="832"/>
      <c r="SG87" s="832"/>
      <c r="SH87" s="832"/>
      <c r="SI87" s="832"/>
      <c r="SJ87" s="832"/>
      <c r="SK87" s="832"/>
      <c r="SL87" s="832"/>
      <c r="SM87" s="832"/>
      <c r="SN87" s="832"/>
      <c r="SO87" s="832"/>
      <c r="SP87" s="832"/>
      <c r="SQ87" s="832"/>
      <c r="SR87" s="832"/>
      <c r="SS87" s="832"/>
      <c r="ST87" s="832"/>
      <c r="SU87" s="832"/>
      <c r="SV87" s="832"/>
      <c r="SW87" s="832"/>
      <c r="SX87" s="832"/>
      <c r="SY87" s="832"/>
      <c r="SZ87" s="832"/>
      <c r="TA87" s="832"/>
      <c r="TB87" s="832"/>
      <c r="TC87" s="832"/>
      <c r="TD87" s="832"/>
      <c r="TE87" s="832"/>
      <c r="TF87" s="832"/>
      <c r="TG87" s="832"/>
      <c r="TH87" s="832"/>
      <c r="TI87" s="832"/>
      <c r="TJ87" s="832"/>
      <c r="TK87" s="832"/>
      <c r="TL87" s="832"/>
      <c r="TM87" s="832"/>
      <c r="TN87" s="832"/>
      <c r="TO87" s="832"/>
      <c r="TP87" s="832"/>
      <c r="TQ87" s="832"/>
      <c r="TR87" s="832"/>
      <c r="TS87" s="832"/>
      <c r="TT87" s="832"/>
      <c r="TU87" s="832"/>
      <c r="TV87" s="832"/>
      <c r="TW87" s="832"/>
      <c r="TX87" s="832"/>
      <c r="TY87" s="832"/>
      <c r="TZ87" s="832"/>
      <c r="UA87" s="832"/>
      <c r="UB87" s="832"/>
      <c r="UC87" s="832"/>
      <c r="UD87" s="832"/>
      <c r="UE87" s="832"/>
      <c r="UF87" s="832"/>
      <c r="UG87" s="832"/>
      <c r="UH87" s="832"/>
      <c r="UI87" s="832"/>
      <c r="UJ87" s="832"/>
      <c r="UK87" s="832"/>
      <c r="UL87" s="832"/>
      <c r="UM87" s="832"/>
      <c r="UN87" s="832"/>
      <c r="UO87" s="832"/>
      <c r="UP87" s="832"/>
      <c r="UQ87" s="832"/>
      <c r="UR87" s="832"/>
      <c r="US87" s="832"/>
      <c r="UT87" s="832"/>
      <c r="UU87" s="832"/>
      <c r="UV87" s="832"/>
      <c r="UW87" s="832"/>
      <c r="UX87" s="832"/>
      <c r="UY87" s="832"/>
      <c r="UZ87" s="832"/>
      <c r="VA87" s="832"/>
      <c r="VB87" s="832"/>
      <c r="VC87" s="832"/>
      <c r="VD87" s="832"/>
      <c r="VE87" s="832"/>
      <c r="VF87" s="832"/>
      <c r="VG87" s="832"/>
      <c r="VH87" s="832"/>
      <c r="VI87" s="832"/>
      <c r="VJ87" s="832"/>
      <c r="VK87" s="832"/>
      <c r="VL87" s="832"/>
      <c r="VM87" s="832"/>
      <c r="VN87" s="832"/>
      <c r="VO87" s="832"/>
      <c r="VP87" s="832"/>
      <c r="VQ87" s="832"/>
      <c r="VR87" s="832"/>
      <c r="VS87" s="832"/>
      <c r="VT87" s="832"/>
      <c r="VU87" s="832"/>
      <c r="VV87" s="832"/>
      <c r="VW87" s="832"/>
      <c r="VX87" s="832"/>
      <c r="VY87" s="832"/>
      <c r="VZ87" s="832"/>
      <c r="WA87" s="832"/>
      <c r="WB87" s="832"/>
      <c r="WC87" s="832"/>
      <c r="WD87" s="832"/>
      <c r="WE87" s="832"/>
      <c r="WF87" s="832"/>
      <c r="WG87" s="832"/>
      <c r="WH87" s="832"/>
      <c r="WI87" s="832"/>
      <c r="WJ87" s="832"/>
      <c r="WK87" s="832"/>
      <c r="WL87" s="832"/>
      <c r="WM87" s="832"/>
      <c r="WN87" s="832"/>
      <c r="WO87" s="832"/>
      <c r="WP87" s="832"/>
      <c r="WQ87" s="832"/>
      <c r="WR87" s="832"/>
      <c r="WS87" s="832"/>
      <c r="WT87" s="832"/>
      <c r="WU87" s="832"/>
      <c r="WV87" s="832"/>
      <c r="WW87" s="832"/>
      <c r="WX87" s="832"/>
      <c r="WY87" s="832"/>
      <c r="WZ87" s="832"/>
      <c r="XA87" s="832"/>
      <c r="XB87" s="832"/>
      <c r="XC87" s="832"/>
      <c r="XD87" s="832"/>
      <c r="XE87" s="832"/>
      <c r="XF87" s="832"/>
      <c r="XG87" s="832"/>
      <c r="XH87" s="832"/>
      <c r="XI87" s="832"/>
      <c r="XJ87" s="832"/>
      <c r="XK87" s="832"/>
      <c r="XL87" s="832"/>
      <c r="XM87" s="832"/>
      <c r="XN87" s="832"/>
      <c r="XO87" s="832"/>
      <c r="XP87" s="832"/>
      <c r="XQ87" s="832"/>
      <c r="XR87" s="832"/>
      <c r="XS87" s="832"/>
      <c r="XT87" s="832"/>
      <c r="XU87" s="832"/>
      <c r="XV87" s="832"/>
      <c r="XW87" s="832"/>
      <c r="XX87" s="832"/>
      <c r="XY87" s="832"/>
      <c r="XZ87" s="832"/>
      <c r="YA87" s="832"/>
      <c r="YB87" s="832"/>
      <c r="YC87" s="832"/>
      <c r="YD87" s="832"/>
      <c r="YE87" s="832"/>
      <c r="YF87" s="832"/>
      <c r="YG87" s="832"/>
      <c r="YH87" s="832"/>
      <c r="YI87" s="832"/>
      <c r="YJ87" s="832"/>
      <c r="YK87" s="832"/>
      <c r="YL87" s="832"/>
      <c r="YM87" s="832"/>
      <c r="YN87" s="832"/>
      <c r="YO87" s="832"/>
      <c r="YP87" s="832"/>
      <c r="YQ87" s="832"/>
      <c r="YR87" s="832"/>
      <c r="YS87" s="832"/>
      <c r="YT87" s="832"/>
      <c r="YU87" s="832"/>
      <c r="YV87" s="832"/>
      <c r="YW87" s="832"/>
      <c r="YX87" s="832"/>
      <c r="YY87" s="832"/>
      <c r="YZ87" s="832"/>
      <c r="ZA87" s="832"/>
      <c r="ZB87" s="832"/>
      <c r="ZC87" s="832"/>
      <c r="ZD87" s="832"/>
      <c r="ZE87" s="832"/>
      <c r="ZF87" s="832"/>
      <c r="ZG87" s="832"/>
      <c r="ZH87" s="832"/>
      <c r="ZI87" s="832"/>
      <c r="ZJ87" s="832"/>
      <c r="ZK87" s="832"/>
      <c r="ZL87" s="832"/>
      <c r="ZM87" s="832"/>
      <c r="ZN87" s="832"/>
      <c r="ZO87" s="832"/>
      <c r="ZP87" s="832"/>
      <c r="ZQ87" s="832"/>
      <c r="ZR87" s="832"/>
      <c r="ZS87" s="832"/>
      <c r="ZT87" s="832"/>
      <c r="ZU87" s="832"/>
      <c r="ZV87" s="832"/>
      <c r="ZW87" s="832"/>
      <c r="ZX87" s="832"/>
      <c r="ZY87" s="832"/>
      <c r="ZZ87" s="832"/>
      <c r="AAA87" s="832"/>
      <c r="AAB87" s="832"/>
      <c r="AAC87" s="832"/>
      <c r="AAD87" s="832"/>
      <c r="AAE87" s="832"/>
      <c r="AAF87" s="832"/>
      <c r="AAG87" s="832"/>
      <c r="AAH87" s="832"/>
      <c r="AAI87" s="832"/>
      <c r="AAJ87" s="832"/>
      <c r="AAK87" s="832"/>
      <c r="AAL87" s="832"/>
      <c r="AAM87" s="832"/>
      <c r="AAN87" s="832"/>
      <c r="AAO87" s="832"/>
      <c r="AAP87" s="832"/>
      <c r="AAQ87" s="832"/>
      <c r="AAR87" s="832"/>
      <c r="AAS87" s="832"/>
      <c r="AAT87" s="832"/>
      <c r="AAU87" s="832"/>
      <c r="AAV87" s="832"/>
      <c r="AAW87" s="832"/>
      <c r="AAX87" s="832"/>
      <c r="AAY87" s="832"/>
      <c r="AAZ87" s="832"/>
      <c r="ABA87" s="832"/>
      <c r="ABB87" s="832"/>
      <c r="ABC87" s="832"/>
      <c r="ABD87" s="832"/>
      <c r="ABE87" s="832"/>
      <c r="ABF87" s="832"/>
      <c r="ABG87" s="832"/>
      <c r="ABH87" s="832"/>
      <c r="ABI87" s="832"/>
      <c r="ABJ87" s="832"/>
      <c r="ABK87" s="832"/>
      <c r="ABL87" s="832"/>
      <c r="ABM87" s="832"/>
      <c r="ABN87" s="832"/>
      <c r="ABO87" s="832"/>
      <c r="ABP87" s="832"/>
      <c r="ABQ87" s="832"/>
      <c r="ABR87" s="832"/>
      <c r="ABS87" s="832"/>
      <c r="ABT87" s="832"/>
      <c r="ABU87" s="832"/>
      <c r="ABV87" s="832"/>
      <c r="ABW87" s="832"/>
      <c r="ABX87" s="832"/>
      <c r="ABY87" s="832"/>
      <c r="ABZ87" s="832"/>
      <c r="ACA87" s="832"/>
      <c r="ACB87" s="832"/>
      <c r="ACC87" s="832"/>
      <c r="ACD87" s="832"/>
      <c r="ACE87" s="832"/>
      <c r="ACF87" s="832"/>
      <c r="ACG87" s="832"/>
      <c r="ACH87" s="832"/>
      <c r="ACI87" s="832"/>
      <c r="ACJ87" s="832"/>
      <c r="ACK87" s="832"/>
      <c r="ACL87" s="832"/>
      <c r="ACM87" s="832"/>
      <c r="ACN87" s="832"/>
      <c r="ACO87" s="832"/>
      <c r="ACP87" s="832"/>
      <c r="ACQ87" s="832"/>
      <c r="ACR87" s="832"/>
      <c r="ACS87" s="832"/>
      <c r="ACT87" s="832"/>
      <c r="ACU87" s="832"/>
      <c r="ACV87" s="832"/>
      <c r="ACW87" s="832"/>
      <c r="ACX87" s="832"/>
      <c r="ACY87" s="832"/>
      <c r="ACZ87" s="832"/>
      <c r="ADA87" s="832"/>
      <c r="ADB87" s="832"/>
      <c r="ADC87" s="832"/>
      <c r="ADD87" s="832"/>
      <c r="ADE87" s="832"/>
      <c r="ADF87" s="832"/>
      <c r="ADG87" s="832"/>
      <c r="ADH87" s="832"/>
      <c r="ADI87" s="832"/>
      <c r="ADJ87" s="832"/>
      <c r="ADK87" s="832"/>
      <c r="ADL87" s="832"/>
      <c r="ADM87" s="832"/>
      <c r="ADN87" s="832"/>
      <c r="ADO87" s="832"/>
      <c r="ADP87" s="832"/>
      <c r="ADQ87" s="832"/>
      <c r="ADR87" s="832"/>
      <c r="ADS87" s="832"/>
      <c r="ADT87" s="832"/>
      <c r="ADU87" s="832"/>
      <c r="ADV87" s="832"/>
      <c r="ADW87" s="832"/>
      <c r="ADX87" s="832"/>
      <c r="ADY87" s="832"/>
      <c r="ADZ87" s="832"/>
      <c r="AEA87" s="832"/>
      <c r="AEB87" s="832"/>
      <c r="AEC87" s="832"/>
      <c r="AED87" s="832"/>
      <c r="AEE87" s="832"/>
      <c r="AEF87" s="832"/>
      <c r="AEG87" s="832"/>
      <c r="AEH87" s="832"/>
      <c r="AEI87" s="832"/>
      <c r="AEJ87" s="832"/>
      <c r="AEK87" s="832"/>
      <c r="AEL87" s="832"/>
      <c r="AEM87" s="832"/>
      <c r="AEN87" s="832"/>
      <c r="AEO87" s="832"/>
      <c r="AEP87" s="832"/>
      <c r="AEQ87" s="832"/>
      <c r="AER87" s="832"/>
      <c r="AES87" s="832"/>
      <c r="AET87" s="832"/>
      <c r="AEU87" s="832"/>
      <c r="AEV87" s="832"/>
      <c r="AEW87" s="832"/>
      <c r="AEX87" s="832"/>
      <c r="AEY87" s="832"/>
      <c r="AEZ87" s="832"/>
      <c r="AFA87" s="832"/>
      <c r="AFB87" s="832"/>
      <c r="AFC87" s="832"/>
      <c r="AFD87" s="832"/>
      <c r="AFE87" s="832"/>
      <c r="AFF87" s="832"/>
      <c r="AFG87" s="832"/>
      <c r="AFH87" s="832"/>
      <c r="AFI87" s="832"/>
      <c r="AFJ87" s="832"/>
      <c r="AFK87" s="832"/>
      <c r="AFL87" s="832"/>
      <c r="AFM87" s="832"/>
      <c r="AFN87" s="832"/>
      <c r="AFO87" s="832"/>
      <c r="AFP87" s="832"/>
      <c r="AFQ87" s="832"/>
      <c r="AFR87" s="832"/>
      <c r="AFS87" s="832"/>
      <c r="AFT87" s="832"/>
      <c r="AFU87" s="832"/>
      <c r="AFV87" s="832"/>
      <c r="AFW87" s="832"/>
      <c r="AFX87" s="832"/>
      <c r="AFY87" s="832"/>
      <c r="AFZ87" s="832"/>
      <c r="AGA87" s="832"/>
      <c r="AGB87" s="832"/>
      <c r="AGC87" s="832"/>
      <c r="AGD87" s="832"/>
      <c r="AGE87" s="832"/>
      <c r="AGF87" s="832"/>
      <c r="AGG87" s="832"/>
      <c r="AGH87" s="832"/>
      <c r="AGI87" s="832"/>
      <c r="AGJ87" s="832"/>
      <c r="AGK87" s="832"/>
      <c r="AGL87" s="832"/>
      <c r="AGM87" s="832"/>
      <c r="AGN87" s="832"/>
      <c r="AGO87" s="832"/>
      <c r="AGP87" s="832"/>
      <c r="AGQ87" s="832"/>
      <c r="AGR87" s="832"/>
      <c r="AGS87" s="832"/>
      <c r="AGT87" s="832"/>
      <c r="AGU87" s="832"/>
      <c r="AGV87" s="832"/>
      <c r="AGW87" s="832"/>
      <c r="AGX87" s="832"/>
      <c r="AGY87" s="832"/>
      <c r="AGZ87" s="832"/>
      <c r="AHA87" s="832"/>
      <c r="AHB87" s="832"/>
      <c r="AHC87" s="832"/>
      <c r="AHD87" s="832"/>
      <c r="AHE87" s="832"/>
      <c r="AHF87" s="832"/>
      <c r="AHG87" s="832"/>
      <c r="AHH87" s="832"/>
      <c r="AHI87" s="832"/>
      <c r="AHJ87" s="832"/>
      <c r="AHK87" s="832"/>
      <c r="AHL87" s="832"/>
      <c r="AHM87" s="832"/>
      <c r="AHN87" s="832"/>
      <c r="AHO87" s="832"/>
      <c r="AHP87" s="832"/>
      <c r="AHQ87" s="832"/>
      <c r="AHR87" s="832"/>
      <c r="AHS87" s="832"/>
      <c r="AHT87" s="832"/>
      <c r="AHU87" s="832"/>
      <c r="AHV87" s="832"/>
      <c r="AHW87" s="832"/>
      <c r="AHX87" s="832"/>
      <c r="AHY87" s="832"/>
      <c r="AHZ87" s="832"/>
      <c r="AIA87" s="832"/>
      <c r="AIB87" s="832"/>
      <c r="AIC87" s="832"/>
      <c r="AID87" s="832"/>
      <c r="AIE87" s="832"/>
      <c r="AIF87" s="832"/>
      <c r="AIG87" s="832"/>
      <c r="AIH87" s="832"/>
      <c r="AII87" s="832"/>
      <c r="AIJ87" s="832"/>
      <c r="AIK87" s="832"/>
      <c r="AIL87" s="832"/>
      <c r="AIM87" s="832"/>
      <c r="AIN87" s="832"/>
      <c r="AIO87" s="832"/>
      <c r="AIP87" s="832"/>
      <c r="AIQ87" s="832"/>
      <c r="AIR87" s="832"/>
      <c r="AIS87" s="832"/>
      <c r="AIT87" s="832"/>
      <c r="AIU87" s="832"/>
      <c r="AIV87" s="832"/>
      <c r="AIW87" s="832"/>
      <c r="AIX87" s="832"/>
      <c r="AIY87" s="832"/>
      <c r="AIZ87" s="832"/>
      <c r="AJA87" s="832"/>
      <c r="AJB87" s="832"/>
      <c r="AJC87" s="832"/>
      <c r="AJD87" s="832"/>
      <c r="AJE87" s="832"/>
      <c r="AJF87" s="832"/>
      <c r="AJG87" s="832"/>
      <c r="AJH87" s="832"/>
      <c r="AJI87" s="832"/>
      <c r="AJJ87" s="832"/>
      <c r="AJK87" s="832"/>
      <c r="AJL87" s="832"/>
      <c r="AJM87" s="832"/>
      <c r="AJN87" s="832"/>
      <c r="AJO87" s="832"/>
      <c r="AJP87" s="832"/>
      <c r="AJQ87" s="832"/>
      <c r="AJR87" s="832"/>
      <c r="AJS87" s="832"/>
      <c r="AJT87" s="832"/>
      <c r="AJU87" s="832"/>
      <c r="AJV87" s="832"/>
      <c r="AJW87" s="832"/>
      <c r="AJX87" s="832"/>
      <c r="AJY87" s="832"/>
      <c r="AJZ87" s="832"/>
      <c r="AKA87" s="832"/>
      <c r="AKB87" s="832"/>
      <c r="AKC87" s="832"/>
      <c r="AKD87" s="832"/>
      <c r="AKE87" s="832"/>
      <c r="AKF87" s="832"/>
      <c r="AKG87" s="832"/>
      <c r="AKH87" s="832"/>
      <c r="AKI87" s="832"/>
      <c r="AKJ87" s="832"/>
      <c r="AKK87" s="832"/>
      <c r="AKL87" s="832"/>
      <c r="AKM87" s="832"/>
      <c r="AKN87" s="832"/>
      <c r="AKO87" s="832"/>
      <c r="AKP87" s="832"/>
      <c r="AKQ87" s="832"/>
      <c r="AKR87" s="832"/>
      <c r="AKS87" s="832"/>
      <c r="AKT87" s="832"/>
      <c r="AKU87" s="832"/>
      <c r="AKV87" s="832"/>
      <c r="AKW87" s="832"/>
      <c r="AKX87" s="832"/>
      <c r="AKY87" s="832"/>
      <c r="AKZ87" s="832"/>
      <c r="ALA87" s="832"/>
      <c r="ALB87" s="832"/>
      <c r="ALC87" s="832"/>
      <c r="ALD87" s="832"/>
      <c r="ALE87" s="832"/>
      <c r="ALF87" s="832"/>
      <c r="ALG87" s="832"/>
      <c r="ALH87" s="832"/>
      <c r="ALI87" s="832"/>
      <c r="ALJ87" s="832"/>
      <c r="ALK87" s="832"/>
      <c r="ALL87" s="832"/>
      <c r="ALM87" s="832"/>
      <c r="ALN87" s="832"/>
      <c r="ALO87" s="832"/>
      <c r="ALP87" s="832"/>
      <c r="ALQ87" s="832"/>
      <c r="ALR87" s="832"/>
      <c r="ALS87" s="832"/>
      <c r="ALT87" s="832"/>
      <c r="ALU87" s="832"/>
      <c r="ALV87" s="832"/>
      <c r="ALW87" s="832"/>
      <c r="ALX87" s="832"/>
      <c r="ALY87" s="832"/>
      <c r="ALZ87" s="832"/>
      <c r="AMA87" s="832"/>
      <c r="AMB87" s="832"/>
      <c r="AMC87" s="832"/>
      <c r="AMD87" s="832"/>
      <c r="AME87" s="832"/>
      <c r="AMF87" s="832"/>
      <c r="AMG87" s="832"/>
      <c r="AMH87" s="832"/>
      <c r="AMI87" s="832"/>
      <c r="AMJ87" s="832"/>
      <c r="AMK87" s="832"/>
      <c r="AML87" s="832"/>
    </row>
    <row r="88" spans="1:1026" s="826" customFormat="1" ht="24.95" customHeight="1">
      <c r="A88" s="900"/>
      <c r="B88" s="901" t="s">
        <v>202</v>
      </c>
      <c r="C88" s="901"/>
      <c r="D88" s="922" t="s">
        <v>203</v>
      </c>
      <c r="E88" s="921"/>
      <c r="F88" s="903"/>
      <c r="G88" s="933"/>
      <c r="H88" s="905"/>
      <c r="I88" s="900"/>
      <c r="J88" s="917"/>
      <c r="K88" s="918"/>
      <c r="L88" s="834"/>
      <c r="M88" s="834"/>
      <c r="N88" s="834"/>
      <c r="O88" s="834"/>
      <c r="P88" s="834"/>
      <c r="Q88" s="834"/>
      <c r="R88" s="834"/>
      <c r="S88" s="834"/>
      <c r="T88" s="834"/>
      <c r="U88" s="834"/>
      <c r="V88" s="834"/>
      <c r="W88" s="834"/>
      <c r="X88" s="834"/>
      <c r="Y88" s="834"/>
      <c r="Z88" s="834"/>
      <c r="AA88" s="834"/>
      <c r="AB88" s="834"/>
      <c r="AC88" s="834"/>
      <c r="AD88" s="834"/>
      <c r="AE88" s="834"/>
      <c r="AF88" s="834"/>
      <c r="AG88" s="834"/>
      <c r="AH88" s="834"/>
      <c r="AI88" s="834"/>
      <c r="AJ88" s="834"/>
      <c r="AK88" s="834"/>
      <c r="AL88" s="834"/>
      <c r="AM88" s="834"/>
      <c r="AN88" s="834"/>
      <c r="AO88" s="834"/>
      <c r="AP88" s="834"/>
      <c r="AQ88" s="834"/>
      <c r="AR88" s="834"/>
      <c r="AS88" s="834"/>
      <c r="AT88" s="834"/>
      <c r="AU88" s="834"/>
      <c r="AV88" s="834"/>
      <c r="AW88" s="834"/>
      <c r="AX88" s="834"/>
      <c r="AY88" s="834"/>
      <c r="AZ88" s="834"/>
      <c r="BA88" s="834"/>
      <c r="BB88" s="834"/>
      <c r="BC88" s="834"/>
      <c r="BD88" s="834"/>
      <c r="BE88" s="834"/>
      <c r="BF88" s="834"/>
      <c r="BG88" s="834"/>
      <c r="BH88" s="834"/>
      <c r="BI88" s="834"/>
      <c r="BJ88" s="834"/>
      <c r="BK88" s="834"/>
      <c r="BL88" s="834"/>
      <c r="BM88" s="834"/>
      <c r="BN88" s="834"/>
      <c r="BO88" s="834"/>
      <c r="BP88" s="834"/>
      <c r="BQ88" s="834"/>
      <c r="BR88" s="834"/>
      <c r="BS88" s="834"/>
      <c r="BT88" s="834"/>
      <c r="BU88" s="834"/>
      <c r="BV88" s="834"/>
      <c r="BW88" s="834"/>
      <c r="BX88" s="834"/>
      <c r="BY88" s="834"/>
      <c r="BZ88" s="834"/>
      <c r="CA88" s="834"/>
      <c r="CB88" s="834"/>
      <c r="CC88" s="834"/>
      <c r="CD88" s="834"/>
      <c r="CE88" s="834"/>
      <c r="CF88" s="834"/>
      <c r="CG88" s="834"/>
      <c r="CH88" s="834"/>
      <c r="CI88" s="834"/>
      <c r="CJ88" s="834"/>
      <c r="CK88" s="834"/>
      <c r="CL88" s="834"/>
      <c r="CM88" s="834"/>
      <c r="CN88" s="834"/>
      <c r="CO88" s="834"/>
      <c r="CP88" s="834"/>
      <c r="CQ88" s="834"/>
      <c r="CR88" s="834"/>
      <c r="CS88" s="834"/>
      <c r="CT88" s="834"/>
      <c r="CU88" s="834"/>
      <c r="CV88" s="834"/>
      <c r="CW88" s="834"/>
      <c r="CX88" s="834"/>
      <c r="CY88" s="834"/>
      <c r="CZ88" s="834"/>
      <c r="DA88" s="834"/>
      <c r="DB88" s="834"/>
      <c r="DC88" s="834"/>
      <c r="DD88" s="834"/>
      <c r="DE88" s="834"/>
      <c r="DF88" s="834"/>
      <c r="DG88" s="834"/>
      <c r="DH88" s="834"/>
      <c r="DI88" s="834"/>
      <c r="DJ88" s="834"/>
      <c r="DK88" s="834"/>
      <c r="DL88" s="834"/>
      <c r="DM88" s="834"/>
      <c r="DN88" s="834"/>
      <c r="DO88" s="834"/>
      <c r="DP88" s="834"/>
      <c r="DQ88" s="834"/>
      <c r="DR88" s="834"/>
      <c r="DS88" s="834"/>
      <c r="DT88" s="834"/>
      <c r="DU88" s="834"/>
      <c r="DV88" s="834"/>
      <c r="DW88" s="834"/>
      <c r="DX88" s="834"/>
      <c r="DY88" s="834"/>
      <c r="DZ88" s="834"/>
      <c r="EA88" s="834"/>
      <c r="EB88" s="834"/>
      <c r="EC88" s="834"/>
      <c r="ED88" s="834"/>
      <c r="EE88" s="834"/>
      <c r="EF88" s="834"/>
      <c r="EG88" s="834"/>
      <c r="EH88" s="834"/>
      <c r="EI88" s="834"/>
      <c r="EJ88" s="834"/>
      <c r="EK88" s="834"/>
      <c r="EL88" s="834"/>
      <c r="EM88" s="834"/>
      <c r="EN88" s="834"/>
      <c r="EO88" s="834"/>
      <c r="EP88" s="834"/>
      <c r="EQ88" s="834"/>
      <c r="ER88" s="834"/>
      <c r="ES88" s="834"/>
      <c r="ET88" s="834"/>
      <c r="EU88" s="834"/>
      <c r="EV88" s="834"/>
      <c r="EW88" s="834"/>
      <c r="EX88" s="834"/>
      <c r="EY88" s="834"/>
      <c r="EZ88" s="834"/>
      <c r="FA88" s="834"/>
      <c r="FB88" s="834"/>
      <c r="FC88" s="834"/>
      <c r="FD88" s="834"/>
      <c r="FE88" s="834"/>
      <c r="FF88" s="834"/>
      <c r="FG88" s="834"/>
      <c r="FH88" s="834"/>
      <c r="FI88" s="834"/>
      <c r="FJ88" s="834"/>
      <c r="FK88" s="834"/>
      <c r="FL88" s="834"/>
      <c r="FM88" s="834"/>
      <c r="FN88" s="834"/>
      <c r="FO88" s="834"/>
      <c r="FP88" s="834"/>
      <c r="FQ88" s="834"/>
      <c r="FR88" s="834"/>
      <c r="FS88" s="834"/>
      <c r="FT88" s="834"/>
      <c r="FU88" s="834"/>
      <c r="FV88" s="834"/>
      <c r="FW88" s="834"/>
      <c r="FX88" s="834"/>
      <c r="FY88" s="834"/>
      <c r="FZ88" s="834"/>
      <c r="GA88" s="834"/>
      <c r="GB88" s="834"/>
      <c r="GC88" s="834"/>
      <c r="GD88" s="834"/>
      <c r="GE88" s="834"/>
      <c r="GF88" s="834"/>
      <c r="GG88" s="834"/>
      <c r="GH88" s="834"/>
      <c r="GI88" s="834"/>
      <c r="GJ88" s="834"/>
      <c r="GK88" s="834"/>
      <c r="GL88" s="834"/>
      <c r="GM88" s="834"/>
      <c r="GN88" s="834"/>
      <c r="GO88" s="834"/>
      <c r="GP88" s="834"/>
      <c r="GQ88" s="834"/>
      <c r="GR88" s="834"/>
      <c r="GS88" s="834"/>
      <c r="GT88" s="834"/>
      <c r="GU88" s="834"/>
      <c r="GV88" s="834"/>
      <c r="GW88" s="834"/>
      <c r="GX88" s="834"/>
      <c r="GY88" s="834"/>
      <c r="GZ88" s="834"/>
      <c r="HA88" s="834"/>
      <c r="HB88" s="834"/>
      <c r="HC88" s="834"/>
      <c r="HD88" s="834"/>
      <c r="HE88" s="834"/>
      <c r="HF88" s="834"/>
      <c r="HG88" s="834"/>
      <c r="HH88" s="834"/>
      <c r="HI88" s="834"/>
      <c r="HJ88" s="834"/>
      <c r="HK88" s="834"/>
      <c r="HL88" s="834"/>
      <c r="HM88" s="834"/>
      <c r="HN88" s="834"/>
      <c r="HO88" s="834"/>
      <c r="HP88" s="834"/>
      <c r="HQ88" s="834"/>
      <c r="HR88" s="834"/>
      <c r="HS88" s="834"/>
      <c r="HT88" s="834"/>
      <c r="HU88" s="834"/>
      <c r="HV88" s="834"/>
      <c r="HW88" s="834"/>
      <c r="HX88" s="834"/>
      <c r="HY88" s="834"/>
      <c r="HZ88" s="834"/>
      <c r="IA88" s="834"/>
      <c r="IB88" s="834"/>
      <c r="IC88" s="834"/>
      <c r="ID88" s="834"/>
      <c r="IE88" s="834"/>
      <c r="IF88" s="834"/>
      <c r="IG88" s="834"/>
      <c r="IH88" s="834"/>
      <c r="II88" s="834"/>
      <c r="IJ88" s="834"/>
      <c r="IK88" s="834"/>
      <c r="IL88" s="834"/>
      <c r="IM88" s="834"/>
      <c r="IN88" s="834"/>
      <c r="IO88" s="834"/>
      <c r="IP88" s="834"/>
      <c r="IQ88" s="834"/>
      <c r="IR88" s="834"/>
      <c r="IS88" s="834"/>
      <c r="IT88" s="834"/>
      <c r="IU88" s="834"/>
      <c r="IV88" s="834"/>
      <c r="IW88" s="834"/>
      <c r="IX88" s="834"/>
      <c r="IY88" s="834"/>
      <c r="IZ88" s="834"/>
      <c r="JA88" s="834"/>
      <c r="JB88" s="834"/>
      <c r="JC88" s="834"/>
      <c r="JD88" s="834"/>
      <c r="JE88" s="834"/>
      <c r="JF88" s="834"/>
      <c r="JG88" s="834"/>
      <c r="JH88" s="834"/>
      <c r="JI88" s="834"/>
      <c r="JJ88" s="834"/>
      <c r="JK88" s="834"/>
      <c r="JL88" s="834"/>
      <c r="JM88" s="834"/>
      <c r="JN88" s="834"/>
      <c r="JO88" s="834"/>
      <c r="JP88" s="834"/>
      <c r="JQ88" s="834"/>
      <c r="JR88" s="834"/>
      <c r="JS88" s="834"/>
      <c r="JT88" s="834"/>
      <c r="JU88" s="834"/>
      <c r="JV88" s="834"/>
      <c r="JW88" s="834"/>
      <c r="JX88" s="834"/>
      <c r="JY88" s="834"/>
      <c r="JZ88" s="834"/>
      <c r="KA88" s="834"/>
      <c r="KB88" s="834"/>
      <c r="KC88" s="834"/>
      <c r="KD88" s="834"/>
      <c r="KE88" s="834"/>
      <c r="KF88" s="834"/>
      <c r="KG88" s="834"/>
      <c r="KH88" s="834"/>
      <c r="KI88" s="834"/>
      <c r="KJ88" s="834"/>
      <c r="KK88" s="834"/>
      <c r="KL88" s="834"/>
      <c r="KM88" s="834"/>
      <c r="KN88" s="834"/>
      <c r="KO88" s="834"/>
      <c r="KP88" s="834"/>
      <c r="KQ88" s="834"/>
      <c r="KR88" s="834"/>
      <c r="KS88" s="834"/>
      <c r="KT88" s="834"/>
      <c r="KU88" s="834"/>
      <c r="KV88" s="834"/>
      <c r="KW88" s="834"/>
      <c r="KX88" s="834"/>
      <c r="KY88" s="834"/>
      <c r="KZ88" s="834"/>
      <c r="LA88" s="834"/>
      <c r="LB88" s="834"/>
      <c r="LC88" s="834"/>
      <c r="LD88" s="834"/>
      <c r="LE88" s="834"/>
      <c r="LF88" s="834"/>
      <c r="LG88" s="834"/>
      <c r="LH88" s="834"/>
      <c r="LI88" s="834"/>
      <c r="LJ88" s="834"/>
      <c r="LK88" s="834"/>
      <c r="LL88" s="834"/>
      <c r="LM88" s="834"/>
      <c r="LN88" s="834"/>
      <c r="LO88" s="834"/>
      <c r="LP88" s="834"/>
      <c r="LQ88" s="834"/>
      <c r="LR88" s="834"/>
      <c r="LS88" s="834"/>
      <c r="LT88" s="834"/>
      <c r="LU88" s="834"/>
      <c r="LV88" s="834"/>
      <c r="LW88" s="834"/>
      <c r="LX88" s="834"/>
      <c r="LY88" s="834"/>
      <c r="LZ88" s="834"/>
      <c r="MA88" s="834"/>
      <c r="MB88" s="834"/>
      <c r="MC88" s="834"/>
      <c r="MD88" s="834"/>
      <c r="ME88" s="834"/>
      <c r="MF88" s="834"/>
      <c r="MG88" s="834"/>
      <c r="MH88" s="834"/>
      <c r="MI88" s="834"/>
      <c r="MJ88" s="834"/>
      <c r="MK88" s="834"/>
      <c r="ML88" s="834"/>
      <c r="MM88" s="834"/>
      <c r="MN88" s="834"/>
      <c r="MO88" s="834"/>
      <c r="MP88" s="834"/>
      <c r="MQ88" s="834"/>
      <c r="MR88" s="834"/>
      <c r="MS88" s="834"/>
      <c r="MT88" s="834"/>
      <c r="MU88" s="834"/>
      <c r="MV88" s="834"/>
      <c r="MW88" s="834"/>
      <c r="MX88" s="834"/>
      <c r="MY88" s="834"/>
      <c r="MZ88" s="834"/>
      <c r="NA88" s="834"/>
      <c r="NB88" s="834"/>
      <c r="NC88" s="834"/>
      <c r="ND88" s="834"/>
      <c r="NE88" s="834"/>
      <c r="NF88" s="834"/>
      <c r="NG88" s="834"/>
      <c r="NH88" s="834"/>
      <c r="NI88" s="834"/>
      <c r="NJ88" s="834"/>
      <c r="NK88" s="834"/>
      <c r="NL88" s="834"/>
      <c r="NM88" s="834"/>
      <c r="NN88" s="834"/>
      <c r="NO88" s="834"/>
      <c r="NP88" s="834"/>
      <c r="NQ88" s="834"/>
      <c r="NR88" s="834"/>
      <c r="NS88" s="834"/>
      <c r="NT88" s="834"/>
      <c r="NU88" s="834"/>
      <c r="NV88" s="834"/>
      <c r="NW88" s="834"/>
      <c r="NX88" s="834"/>
      <c r="NY88" s="834"/>
      <c r="NZ88" s="834"/>
      <c r="OA88" s="834"/>
      <c r="OB88" s="834"/>
      <c r="OC88" s="834"/>
      <c r="OD88" s="834"/>
      <c r="OE88" s="834"/>
      <c r="OF88" s="834"/>
      <c r="OG88" s="834"/>
      <c r="OH88" s="834"/>
      <c r="OI88" s="834"/>
      <c r="OJ88" s="834"/>
      <c r="OK88" s="834"/>
      <c r="OL88" s="834"/>
      <c r="OM88" s="834"/>
      <c r="ON88" s="834"/>
      <c r="OO88" s="834"/>
      <c r="OP88" s="834"/>
      <c r="OQ88" s="834"/>
      <c r="OR88" s="834"/>
      <c r="OS88" s="834"/>
      <c r="OT88" s="834"/>
      <c r="OU88" s="834"/>
      <c r="OV88" s="834"/>
      <c r="OW88" s="834"/>
      <c r="OX88" s="834"/>
      <c r="OY88" s="834"/>
      <c r="OZ88" s="834"/>
      <c r="PA88" s="834"/>
      <c r="PB88" s="834"/>
      <c r="PC88" s="834"/>
      <c r="PD88" s="834"/>
      <c r="PE88" s="834"/>
      <c r="PF88" s="834"/>
      <c r="PG88" s="834"/>
      <c r="PH88" s="834"/>
      <c r="PI88" s="834"/>
      <c r="PJ88" s="834"/>
      <c r="PK88" s="834"/>
      <c r="PL88" s="834"/>
      <c r="PM88" s="834"/>
      <c r="PN88" s="834"/>
      <c r="PO88" s="834"/>
      <c r="PP88" s="834"/>
      <c r="PQ88" s="834"/>
      <c r="PR88" s="834"/>
      <c r="PS88" s="834"/>
      <c r="PT88" s="834"/>
      <c r="PU88" s="834"/>
      <c r="PV88" s="834"/>
      <c r="PW88" s="834"/>
      <c r="PX88" s="834"/>
      <c r="PY88" s="834"/>
      <c r="PZ88" s="834"/>
      <c r="QA88" s="834"/>
      <c r="QB88" s="834"/>
      <c r="QC88" s="834"/>
      <c r="QD88" s="834"/>
      <c r="QE88" s="834"/>
      <c r="QF88" s="834"/>
      <c r="QG88" s="834"/>
      <c r="QH88" s="834"/>
      <c r="QI88" s="834"/>
      <c r="QJ88" s="834"/>
      <c r="QK88" s="834"/>
      <c r="QL88" s="834"/>
      <c r="QM88" s="834"/>
      <c r="QN88" s="834"/>
      <c r="QO88" s="834"/>
      <c r="QP88" s="834"/>
      <c r="QQ88" s="834"/>
      <c r="QR88" s="834"/>
      <c r="QS88" s="834"/>
      <c r="QT88" s="834"/>
      <c r="QU88" s="834"/>
      <c r="QV88" s="834"/>
      <c r="QW88" s="834"/>
      <c r="QX88" s="834"/>
      <c r="QY88" s="834"/>
      <c r="QZ88" s="834"/>
      <c r="RA88" s="834"/>
      <c r="RB88" s="834"/>
      <c r="RC88" s="834"/>
      <c r="RD88" s="834"/>
      <c r="RE88" s="834"/>
      <c r="RF88" s="834"/>
      <c r="RG88" s="834"/>
      <c r="RH88" s="834"/>
      <c r="RI88" s="834"/>
      <c r="RJ88" s="834"/>
      <c r="RK88" s="834"/>
      <c r="RL88" s="834"/>
      <c r="RM88" s="834"/>
      <c r="RN88" s="834"/>
      <c r="RO88" s="834"/>
      <c r="RP88" s="834"/>
      <c r="RQ88" s="834"/>
      <c r="RR88" s="834"/>
      <c r="RS88" s="834"/>
      <c r="RT88" s="834"/>
      <c r="RU88" s="834"/>
      <c r="RV88" s="834"/>
      <c r="RW88" s="834"/>
      <c r="RX88" s="834"/>
      <c r="RY88" s="834"/>
      <c r="RZ88" s="834"/>
      <c r="SA88" s="834"/>
      <c r="SB88" s="834"/>
      <c r="SC88" s="834"/>
      <c r="SD88" s="834"/>
      <c r="SE88" s="834"/>
      <c r="SF88" s="834"/>
      <c r="SG88" s="834"/>
      <c r="SH88" s="834"/>
      <c r="SI88" s="834"/>
      <c r="SJ88" s="834"/>
      <c r="SK88" s="834"/>
      <c r="SL88" s="834"/>
      <c r="SM88" s="834"/>
      <c r="SN88" s="834"/>
      <c r="SO88" s="834"/>
      <c r="SP88" s="834"/>
      <c r="SQ88" s="834"/>
      <c r="SR88" s="834"/>
      <c r="SS88" s="834"/>
      <c r="ST88" s="834"/>
      <c r="SU88" s="834"/>
      <c r="SV88" s="834"/>
      <c r="SW88" s="834"/>
      <c r="SX88" s="834"/>
      <c r="SY88" s="834"/>
      <c r="SZ88" s="834"/>
      <c r="TA88" s="834"/>
      <c r="TB88" s="834"/>
      <c r="TC88" s="834"/>
      <c r="TD88" s="834"/>
      <c r="TE88" s="834"/>
      <c r="TF88" s="834"/>
      <c r="TG88" s="834"/>
      <c r="TH88" s="834"/>
      <c r="TI88" s="834"/>
      <c r="TJ88" s="834"/>
      <c r="TK88" s="834"/>
      <c r="TL88" s="834"/>
      <c r="TM88" s="834"/>
      <c r="TN88" s="834"/>
      <c r="TO88" s="834"/>
      <c r="TP88" s="834"/>
      <c r="TQ88" s="834"/>
      <c r="TR88" s="834"/>
      <c r="TS88" s="834"/>
      <c r="TT88" s="834"/>
      <c r="TU88" s="834"/>
      <c r="TV88" s="834"/>
      <c r="TW88" s="834"/>
      <c r="TX88" s="834"/>
      <c r="TY88" s="834"/>
      <c r="TZ88" s="834"/>
      <c r="UA88" s="834"/>
      <c r="UB88" s="834"/>
      <c r="UC88" s="834"/>
      <c r="UD88" s="834"/>
      <c r="UE88" s="834"/>
      <c r="UF88" s="834"/>
      <c r="UG88" s="834"/>
      <c r="UH88" s="834"/>
      <c r="UI88" s="834"/>
      <c r="UJ88" s="834"/>
      <c r="UK88" s="834"/>
      <c r="UL88" s="834"/>
      <c r="UM88" s="834"/>
      <c r="UN88" s="834"/>
      <c r="UO88" s="834"/>
      <c r="UP88" s="834"/>
      <c r="UQ88" s="834"/>
      <c r="UR88" s="834"/>
      <c r="US88" s="834"/>
      <c r="UT88" s="834"/>
      <c r="UU88" s="834"/>
      <c r="UV88" s="834"/>
      <c r="UW88" s="834"/>
      <c r="UX88" s="834"/>
      <c r="UY88" s="834"/>
      <c r="UZ88" s="834"/>
      <c r="VA88" s="834"/>
      <c r="VB88" s="834"/>
      <c r="VC88" s="834"/>
      <c r="VD88" s="834"/>
      <c r="VE88" s="834"/>
      <c r="VF88" s="834"/>
      <c r="VG88" s="834"/>
      <c r="VH88" s="834"/>
      <c r="VI88" s="834"/>
      <c r="VJ88" s="834"/>
      <c r="VK88" s="834"/>
      <c r="VL88" s="834"/>
      <c r="VM88" s="834"/>
      <c r="VN88" s="834"/>
      <c r="VO88" s="834"/>
      <c r="VP88" s="834"/>
      <c r="VQ88" s="834"/>
      <c r="VR88" s="834"/>
      <c r="VS88" s="834"/>
      <c r="VT88" s="834"/>
      <c r="VU88" s="834"/>
      <c r="VV88" s="834"/>
      <c r="VW88" s="834"/>
      <c r="VX88" s="834"/>
      <c r="VY88" s="834"/>
      <c r="VZ88" s="834"/>
      <c r="WA88" s="834"/>
      <c r="WB88" s="834"/>
      <c r="WC88" s="834"/>
      <c r="WD88" s="834"/>
      <c r="WE88" s="834"/>
      <c r="WF88" s="834"/>
      <c r="WG88" s="834"/>
      <c r="WH88" s="834"/>
      <c r="WI88" s="834"/>
      <c r="WJ88" s="834"/>
      <c r="WK88" s="834"/>
      <c r="WL88" s="834"/>
      <c r="WM88" s="834"/>
      <c r="WN88" s="834"/>
      <c r="WO88" s="834"/>
      <c r="WP88" s="834"/>
      <c r="WQ88" s="834"/>
      <c r="WR88" s="834"/>
      <c r="WS88" s="834"/>
      <c r="WT88" s="834"/>
      <c r="WU88" s="834"/>
      <c r="WV88" s="834"/>
      <c r="WW88" s="834"/>
      <c r="WX88" s="834"/>
      <c r="WY88" s="834"/>
      <c r="WZ88" s="834"/>
      <c r="XA88" s="834"/>
      <c r="XB88" s="834"/>
      <c r="XC88" s="834"/>
      <c r="XD88" s="834"/>
      <c r="XE88" s="834"/>
      <c r="XF88" s="834"/>
      <c r="XG88" s="834"/>
      <c r="XH88" s="834"/>
      <c r="XI88" s="834"/>
      <c r="XJ88" s="834"/>
      <c r="XK88" s="834"/>
      <c r="XL88" s="834"/>
      <c r="XM88" s="834"/>
      <c r="XN88" s="834"/>
      <c r="XO88" s="834"/>
      <c r="XP88" s="834"/>
      <c r="XQ88" s="834"/>
      <c r="XR88" s="834"/>
      <c r="XS88" s="834"/>
      <c r="XT88" s="834"/>
      <c r="XU88" s="834"/>
      <c r="XV88" s="834"/>
      <c r="XW88" s="834"/>
      <c r="XX88" s="834"/>
      <c r="XY88" s="834"/>
      <c r="XZ88" s="834"/>
      <c r="YA88" s="834"/>
      <c r="YB88" s="834"/>
      <c r="YC88" s="834"/>
      <c r="YD88" s="834"/>
      <c r="YE88" s="834"/>
      <c r="YF88" s="834"/>
      <c r="YG88" s="834"/>
      <c r="YH88" s="834"/>
      <c r="YI88" s="834"/>
      <c r="YJ88" s="834"/>
      <c r="YK88" s="834"/>
      <c r="YL88" s="834"/>
      <c r="YM88" s="834"/>
      <c r="YN88" s="834"/>
      <c r="YO88" s="834"/>
      <c r="YP88" s="834"/>
      <c r="YQ88" s="834"/>
      <c r="YR88" s="834"/>
      <c r="YS88" s="834"/>
      <c r="YT88" s="834"/>
      <c r="YU88" s="834"/>
      <c r="YV88" s="834"/>
      <c r="YW88" s="834"/>
      <c r="YX88" s="834"/>
      <c r="YY88" s="834"/>
      <c r="YZ88" s="834"/>
      <c r="ZA88" s="834"/>
      <c r="ZB88" s="834"/>
      <c r="ZC88" s="834"/>
      <c r="ZD88" s="834"/>
      <c r="ZE88" s="834"/>
      <c r="ZF88" s="834"/>
      <c r="ZG88" s="834"/>
      <c r="ZH88" s="834"/>
      <c r="ZI88" s="834"/>
      <c r="ZJ88" s="834"/>
      <c r="ZK88" s="834"/>
      <c r="ZL88" s="834"/>
      <c r="ZM88" s="834"/>
      <c r="ZN88" s="834"/>
      <c r="ZO88" s="834"/>
      <c r="ZP88" s="834"/>
      <c r="ZQ88" s="834"/>
      <c r="ZR88" s="834"/>
      <c r="ZS88" s="834"/>
      <c r="ZT88" s="834"/>
      <c r="ZU88" s="834"/>
      <c r="ZV88" s="834"/>
      <c r="ZW88" s="834"/>
      <c r="ZX88" s="834"/>
      <c r="ZY88" s="834"/>
      <c r="ZZ88" s="834"/>
      <c r="AAA88" s="834"/>
      <c r="AAB88" s="834"/>
      <c r="AAC88" s="834"/>
      <c r="AAD88" s="834"/>
      <c r="AAE88" s="834"/>
      <c r="AAF88" s="834"/>
      <c r="AAG88" s="834"/>
      <c r="AAH88" s="834"/>
      <c r="AAI88" s="834"/>
      <c r="AAJ88" s="834"/>
      <c r="AAK88" s="834"/>
      <c r="AAL88" s="834"/>
      <c r="AAM88" s="834"/>
      <c r="AAN88" s="834"/>
      <c r="AAO88" s="834"/>
      <c r="AAP88" s="834"/>
      <c r="AAQ88" s="834"/>
      <c r="AAR88" s="834"/>
      <c r="AAS88" s="834"/>
      <c r="AAT88" s="834"/>
      <c r="AAU88" s="834"/>
      <c r="AAV88" s="834"/>
      <c r="AAW88" s="834"/>
      <c r="AAX88" s="834"/>
      <c r="AAY88" s="834"/>
      <c r="AAZ88" s="834"/>
      <c r="ABA88" s="834"/>
      <c r="ABB88" s="834"/>
      <c r="ABC88" s="834"/>
      <c r="ABD88" s="834"/>
      <c r="ABE88" s="834"/>
      <c r="ABF88" s="834"/>
      <c r="ABG88" s="834"/>
      <c r="ABH88" s="834"/>
      <c r="ABI88" s="834"/>
      <c r="ABJ88" s="834"/>
      <c r="ABK88" s="834"/>
      <c r="ABL88" s="834"/>
      <c r="ABM88" s="834"/>
      <c r="ABN88" s="834"/>
      <c r="ABO88" s="834"/>
      <c r="ABP88" s="834"/>
      <c r="ABQ88" s="834"/>
      <c r="ABR88" s="834"/>
      <c r="ABS88" s="834"/>
      <c r="ABT88" s="834"/>
      <c r="ABU88" s="834"/>
      <c r="ABV88" s="834"/>
      <c r="ABW88" s="834"/>
      <c r="ABX88" s="834"/>
      <c r="ABY88" s="834"/>
      <c r="ABZ88" s="834"/>
      <c r="ACA88" s="834"/>
      <c r="ACB88" s="834"/>
      <c r="ACC88" s="834"/>
      <c r="ACD88" s="834"/>
      <c r="ACE88" s="834"/>
      <c r="ACF88" s="834"/>
      <c r="ACG88" s="834"/>
      <c r="ACH88" s="834"/>
      <c r="ACI88" s="834"/>
      <c r="ACJ88" s="834"/>
      <c r="ACK88" s="834"/>
      <c r="ACL88" s="834"/>
      <c r="ACM88" s="834"/>
      <c r="ACN88" s="834"/>
      <c r="ACO88" s="834"/>
      <c r="ACP88" s="834"/>
      <c r="ACQ88" s="834"/>
      <c r="ACR88" s="834"/>
      <c r="ACS88" s="834"/>
      <c r="ACT88" s="834"/>
      <c r="ACU88" s="834"/>
      <c r="ACV88" s="834"/>
      <c r="ACW88" s="834"/>
      <c r="ACX88" s="834"/>
      <c r="ACY88" s="834"/>
      <c r="ACZ88" s="834"/>
      <c r="ADA88" s="834"/>
      <c r="ADB88" s="834"/>
      <c r="ADC88" s="834"/>
      <c r="ADD88" s="834"/>
      <c r="ADE88" s="834"/>
      <c r="ADF88" s="834"/>
      <c r="ADG88" s="834"/>
      <c r="ADH88" s="834"/>
      <c r="ADI88" s="834"/>
      <c r="ADJ88" s="834"/>
      <c r="ADK88" s="834"/>
      <c r="ADL88" s="834"/>
      <c r="ADM88" s="834"/>
      <c r="ADN88" s="834"/>
      <c r="ADO88" s="834"/>
      <c r="ADP88" s="834"/>
      <c r="ADQ88" s="834"/>
      <c r="ADR88" s="834"/>
      <c r="ADS88" s="834"/>
      <c r="ADT88" s="834"/>
      <c r="ADU88" s="834"/>
      <c r="ADV88" s="834"/>
      <c r="ADW88" s="834"/>
      <c r="ADX88" s="834"/>
      <c r="ADY88" s="834"/>
      <c r="ADZ88" s="834"/>
      <c r="AEA88" s="834"/>
      <c r="AEB88" s="834"/>
      <c r="AEC88" s="834"/>
      <c r="AED88" s="834"/>
      <c r="AEE88" s="834"/>
      <c r="AEF88" s="834"/>
      <c r="AEG88" s="834"/>
      <c r="AEH88" s="834"/>
      <c r="AEI88" s="834"/>
      <c r="AEJ88" s="834"/>
      <c r="AEK88" s="834"/>
      <c r="AEL88" s="834"/>
      <c r="AEM88" s="834"/>
      <c r="AEN88" s="834"/>
      <c r="AEO88" s="834"/>
      <c r="AEP88" s="834"/>
      <c r="AEQ88" s="834"/>
      <c r="AER88" s="834"/>
      <c r="AES88" s="834"/>
      <c r="AET88" s="834"/>
      <c r="AEU88" s="834"/>
      <c r="AEV88" s="834"/>
      <c r="AEW88" s="834"/>
      <c r="AEX88" s="834"/>
      <c r="AEY88" s="834"/>
      <c r="AEZ88" s="834"/>
      <c r="AFA88" s="834"/>
      <c r="AFB88" s="834"/>
      <c r="AFC88" s="834"/>
      <c r="AFD88" s="834"/>
      <c r="AFE88" s="834"/>
      <c r="AFF88" s="834"/>
      <c r="AFG88" s="834"/>
      <c r="AFH88" s="834"/>
      <c r="AFI88" s="834"/>
      <c r="AFJ88" s="834"/>
      <c r="AFK88" s="834"/>
      <c r="AFL88" s="834"/>
      <c r="AFM88" s="834"/>
      <c r="AFN88" s="834"/>
      <c r="AFO88" s="834"/>
      <c r="AFP88" s="834"/>
      <c r="AFQ88" s="834"/>
      <c r="AFR88" s="834"/>
      <c r="AFS88" s="834"/>
      <c r="AFT88" s="834"/>
      <c r="AFU88" s="834"/>
      <c r="AFV88" s="834"/>
      <c r="AFW88" s="834"/>
      <c r="AFX88" s="834"/>
      <c r="AFY88" s="834"/>
      <c r="AFZ88" s="834"/>
      <c r="AGA88" s="834"/>
      <c r="AGB88" s="834"/>
      <c r="AGC88" s="834"/>
      <c r="AGD88" s="834"/>
      <c r="AGE88" s="834"/>
      <c r="AGF88" s="834"/>
      <c r="AGG88" s="834"/>
      <c r="AGH88" s="834"/>
      <c r="AGI88" s="834"/>
      <c r="AGJ88" s="834"/>
      <c r="AGK88" s="834"/>
      <c r="AGL88" s="834"/>
      <c r="AGM88" s="834"/>
      <c r="AGN88" s="834"/>
      <c r="AGO88" s="834"/>
      <c r="AGP88" s="834"/>
      <c r="AGQ88" s="834"/>
      <c r="AGR88" s="834"/>
      <c r="AGS88" s="834"/>
      <c r="AGT88" s="834"/>
      <c r="AGU88" s="834"/>
      <c r="AGV88" s="834"/>
      <c r="AGW88" s="834"/>
      <c r="AGX88" s="834"/>
      <c r="AGY88" s="834"/>
      <c r="AGZ88" s="834"/>
      <c r="AHA88" s="834"/>
      <c r="AHB88" s="834"/>
      <c r="AHC88" s="834"/>
      <c r="AHD88" s="834"/>
      <c r="AHE88" s="834"/>
      <c r="AHF88" s="834"/>
      <c r="AHG88" s="834"/>
      <c r="AHH88" s="834"/>
      <c r="AHI88" s="834"/>
      <c r="AHJ88" s="834"/>
      <c r="AHK88" s="834"/>
      <c r="AHL88" s="834"/>
      <c r="AHM88" s="834"/>
      <c r="AHN88" s="834"/>
      <c r="AHO88" s="834"/>
      <c r="AHP88" s="834"/>
      <c r="AHQ88" s="834"/>
      <c r="AHR88" s="834"/>
      <c r="AHS88" s="834"/>
      <c r="AHT88" s="834"/>
      <c r="AHU88" s="834"/>
      <c r="AHV88" s="834"/>
      <c r="AHW88" s="834"/>
      <c r="AHX88" s="834"/>
      <c r="AHY88" s="834"/>
      <c r="AHZ88" s="834"/>
      <c r="AIA88" s="834"/>
      <c r="AIB88" s="834"/>
      <c r="AIC88" s="834"/>
      <c r="AID88" s="834"/>
      <c r="AIE88" s="834"/>
      <c r="AIF88" s="834"/>
      <c r="AIG88" s="834"/>
      <c r="AIH88" s="834"/>
      <c r="AII88" s="834"/>
      <c r="AIJ88" s="834"/>
      <c r="AIK88" s="834"/>
      <c r="AIL88" s="834"/>
      <c r="AIM88" s="834"/>
      <c r="AIN88" s="834"/>
      <c r="AIO88" s="834"/>
      <c r="AIP88" s="834"/>
      <c r="AIQ88" s="834"/>
      <c r="AIR88" s="834"/>
      <c r="AIS88" s="834"/>
      <c r="AIT88" s="834"/>
      <c r="AIU88" s="834"/>
      <c r="AIV88" s="834"/>
      <c r="AIW88" s="834"/>
      <c r="AIX88" s="834"/>
      <c r="AIY88" s="834"/>
      <c r="AIZ88" s="834"/>
      <c r="AJA88" s="834"/>
      <c r="AJB88" s="834"/>
      <c r="AJC88" s="834"/>
      <c r="AJD88" s="834"/>
      <c r="AJE88" s="834"/>
      <c r="AJF88" s="834"/>
      <c r="AJG88" s="834"/>
      <c r="AJH88" s="834"/>
      <c r="AJI88" s="834"/>
      <c r="AJJ88" s="834"/>
      <c r="AJK88" s="834"/>
      <c r="AJL88" s="834"/>
      <c r="AJM88" s="834"/>
      <c r="AJN88" s="834"/>
      <c r="AJO88" s="834"/>
      <c r="AJP88" s="834"/>
      <c r="AJQ88" s="834"/>
      <c r="AJR88" s="834"/>
      <c r="AJS88" s="834"/>
      <c r="AJT88" s="834"/>
      <c r="AJU88" s="834"/>
      <c r="AJV88" s="834"/>
      <c r="AJW88" s="834"/>
      <c r="AJX88" s="834"/>
      <c r="AJY88" s="834"/>
      <c r="AJZ88" s="834"/>
      <c r="AKA88" s="834"/>
      <c r="AKB88" s="834"/>
      <c r="AKC88" s="834"/>
      <c r="AKD88" s="834"/>
      <c r="AKE88" s="834"/>
      <c r="AKF88" s="834"/>
      <c r="AKG88" s="834"/>
      <c r="AKH88" s="834"/>
      <c r="AKI88" s="834"/>
      <c r="AKJ88" s="834"/>
      <c r="AKK88" s="834"/>
      <c r="AKL88" s="834"/>
      <c r="AKM88" s="834"/>
      <c r="AKN88" s="834"/>
      <c r="AKO88" s="834"/>
      <c r="AKP88" s="834"/>
      <c r="AKQ88" s="834"/>
      <c r="AKR88" s="834"/>
      <c r="AKS88" s="834"/>
      <c r="AKT88" s="834"/>
      <c r="AKU88" s="834"/>
      <c r="AKV88" s="834"/>
      <c r="AKW88" s="834"/>
      <c r="AKX88" s="834"/>
      <c r="AKY88" s="834"/>
      <c r="AKZ88" s="834"/>
      <c r="ALA88" s="834"/>
      <c r="ALB88" s="834"/>
      <c r="ALC88" s="834"/>
      <c r="ALD88" s="834"/>
      <c r="ALE88" s="834"/>
      <c r="ALF88" s="834"/>
      <c r="ALG88" s="834"/>
      <c r="ALH88" s="834"/>
      <c r="ALI88" s="834"/>
      <c r="ALJ88" s="834"/>
      <c r="ALK88" s="834"/>
      <c r="ALL88" s="834"/>
      <c r="ALM88" s="834"/>
      <c r="ALN88" s="834"/>
      <c r="ALO88" s="834"/>
      <c r="ALP88" s="834"/>
      <c r="ALQ88" s="834"/>
      <c r="ALR88" s="834"/>
      <c r="ALS88" s="834"/>
      <c r="ALT88" s="834"/>
      <c r="ALU88" s="834"/>
      <c r="ALV88" s="834"/>
      <c r="ALW88" s="834"/>
      <c r="ALX88" s="834"/>
      <c r="ALY88" s="834"/>
      <c r="ALZ88" s="834"/>
      <c r="AMA88" s="834"/>
      <c r="AMB88" s="834"/>
      <c r="AMC88" s="834"/>
      <c r="AMD88" s="834"/>
      <c r="AME88" s="834"/>
      <c r="AMF88" s="834"/>
      <c r="AMG88" s="834"/>
      <c r="AMH88" s="834"/>
      <c r="AMI88" s="834"/>
      <c r="AMJ88" s="834"/>
      <c r="AMK88" s="834"/>
      <c r="AML88" s="834"/>
    </row>
    <row r="89" spans="1:1026" ht="27" customHeight="1">
      <c r="A89" s="844"/>
      <c r="B89" s="891" t="s">
        <v>204</v>
      </c>
      <c r="C89" s="879" t="s">
        <v>205</v>
      </c>
      <c r="D89" s="443" t="s">
        <v>206</v>
      </c>
      <c r="E89" s="879" t="s">
        <v>27</v>
      </c>
      <c r="F89" s="930">
        <f>Esquadrias!H25</f>
        <v>26.91</v>
      </c>
      <c r="G89" s="934">
        <f>K89</f>
        <v>360.67</v>
      </c>
      <c r="H89" s="883">
        <f t="shared" si="7"/>
        <v>9705.6297000000013</v>
      </c>
      <c r="I89" s="844"/>
      <c r="J89" s="841">
        <v>284.87</v>
      </c>
      <c r="K89" s="842">
        <f t="shared" si="8"/>
        <v>360.67</v>
      </c>
    </row>
    <row r="90" spans="1:1026" ht="36.75" customHeight="1">
      <c r="A90" s="844"/>
      <c r="B90" s="891" t="s">
        <v>207</v>
      </c>
      <c r="C90" s="879" t="s">
        <v>208</v>
      </c>
      <c r="D90" s="443" t="s">
        <v>209</v>
      </c>
      <c r="E90" s="879" t="s">
        <v>27</v>
      </c>
      <c r="F90" s="930">
        <f>Esquadrias!D70</f>
        <v>5.56</v>
      </c>
      <c r="G90" s="934">
        <f>K90</f>
        <v>131.69999999999999</v>
      </c>
      <c r="H90" s="883">
        <f t="shared" si="7"/>
        <v>732.25199999999984</v>
      </c>
      <c r="I90" s="844"/>
      <c r="J90" s="841">
        <v>104.02</v>
      </c>
      <c r="K90" s="842">
        <f t="shared" si="8"/>
        <v>131.69999999999999</v>
      </c>
    </row>
    <row r="91" spans="1:1026" s="826" customFormat="1" ht="24.95" customHeight="1" outlineLevel="1">
      <c r="A91" s="900"/>
      <c r="B91" s="901">
        <v>8</v>
      </c>
      <c r="C91" s="921"/>
      <c r="D91" s="922" t="s">
        <v>210</v>
      </c>
      <c r="E91" s="418"/>
      <c r="F91" s="928"/>
      <c r="G91" s="933"/>
      <c r="H91" s="905"/>
      <c r="I91" s="900"/>
      <c r="J91" s="917"/>
      <c r="K91" s="918"/>
      <c r="L91" s="834"/>
      <c r="M91" s="834"/>
      <c r="N91" s="834"/>
      <c r="O91" s="834"/>
      <c r="P91" s="834"/>
      <c r="Q91" s="834"/>
      <c r="R91" s="834"/>
      <c r="S91" s="834"/>
      <c r="T91" s="834"/>
      <c r="U91" s="834"/>
      <c r="V91" s="834"/>
      <c r="W91" s="834"/>
      <c r="X91" s="834"/>
      <c r="Y91" s="834"/>
      <c r="Z91" s="834"/>
      <c r="AA91" s="834"/>
      <c r="AB91" s="834"/>
      <c r="AC91" s="834"/>
      <c r="AD91" s="834"/>
      <c r="AE91" s="834"/>
      <c r="AF91" s="834"/>
      <c r="AG91" s="834"/>
      <c r="AH91" s="834"/>
      <c r="AI91" s="834"/>
      <c r="AJ91" s="834"/>
      <c r="AK91" s="834"/>
      <c r="AL91" s="834"/>
      <c r="AM91" s="834"/>
      <c r="AN91" s="834"/>
      <c r="AO91" s="834"/>
      <c r="AP91" s="834"/>
      <c r="AQ91" s="834"/>
      <c r="AR91" s="834"/>
      <c r="AS91" s="834"/>
      <c r="AT91" s="834"/>
      <c r="AU91" s="834"/>
      <c r="AV91" s="834"/>
      <c r="AW91" s="834"/>
      <c r="AX91" s="834"/>
      <c r="AY91" s="834"/>
      <c r="AZ91" s="834"/>
      <c r="BA91" s="834"/>
      <c r="BB91" s="834"/>
      <c r="BC91" s="834"/>
      <c r="BD91" s="834"/>
      <c r="BE91" s="834"/>
      <c r="BF91" s="834"/>
      <c r="BG91" s="834"/>
      <c r="BH91" s="834"/>
      <c r="BI91" s="834"/>
      <c r="BJ91" s="834"/>
      <c r="BK91" s="834"/>
      <c r="BL91" s="834"/>
      <c r="BM91" s="834"/>
      <c r="BN91" s="834"/>
      <c r="BO91" s="834"/>
      <c r="BP91" s="834"/>
      <c r="BQ91" s="834"/>
      <c r="BR91" s="834"/>
      <c r="BS91" s="834"/>
      <c r="BT91" s="834"/>
      <c r="BU91" s="834"/>
      <c r="BV91" s="834"/>
      <c r="BW91" s="834"/>
      <c r="BX91" s="834"/>
      <c r="BY91" s="834"/>
      <c r="BZ91" s="834"/>
      <c r="CA91" s="834"/>
      <c r="CB91" s="834"/>
      <c r="CC91" s="834"/>
      <c r="CD91" s="834"/>
      <c r="CE91" s="834"/>
      <c r="CF91" s="834"/>
      <c r="CG91" s="834"/>
      <c r="CH91" s="834"/>
      <c r="CI91" s="834"/>
      <c r="CJ91" s="834"/>
      <c r="CK91" s="834"/>
      <c r="CL91" s="834"/>
      <c r="CM91" s="834"/>
      <c r="CN91" s="834"/>
      <c r="CO91" s="834"/>
      <c r="CP91" s="834"/>
      <c r="CQ91" s="834"/>
      <c r="CR91" s="834"/>
      <c r="CS91" s="834"/>
      <c r="CT91" s="834"/>
      <c r="CU91" s="834"/>
      <c r="CV91" s="834"/>
      <c r="CW91" s="834"/>
      <c r="CX91" s="834"/>
      <c r="CY91" s="834"/>
      <c r="CZ91" s="834"/>
      <c r="DA91" s="834"/>
      <c r="DB91" s="834"/>
      <c r="DC91" s="834"/>
      <c r="DD91" s="834"/>
      <c r="DE91" s="834"/>
      <c r="DF91" s="834"/>
      <c r="DG91" s="834"/>
      <c r="DH91" s="834"/>
      <c r="DI91" s="834"/>
      <c r="DJ91" s="834"/>
      <c r="DK91" s="834"/>
      <c r="DL91" s="834"/>
      <c r="DM91" s="834"/>
      <c r="DN91" s="834"/>
      <c r="DO91" s="834"/>
      <c r="DP91" s="834"/>
      <c r="DQ91" s="834"/>
      <c r="DR91" s="834"/>
      <c r="DS91" s="834"/>
      <c r="DT91" s="834"/>
      <c r="DU91" s="834"/>
      <c r="DV91" s="834"/>
      <c r="DW91" s="834"/>
      <c r="DX91" s="834"/>
      <c r="DY91" s="834"/>
      <c r="DZ91" s="834"/>
      <c r="EA91" s="834"/>
      <c r="EB91" s="834"/>
      <c r="EC91" s="834"/>
      <c r="ED91" s="834"/>
      <c r="EE91" s="834"/>
      <c r="EF91" s="834"/>
      <c r="EG91" s="834"/>
      <c r="EH91" s="834"/>
      <c r="EI91" s="834"/>
      <c r="EJ91" s="834"/>
      <c r="EK91" s="834"/>
      <c r="EL91" s="834"/>
      <c r="EM91" s="834"/>
      <c r="EN91" s="834"/>
      <c r="EO91" s="834"/>
      <c r="EP91" s="834"/>
      <c r="EQ91" s="834"/>
      <c r="ER91" s="834"/>
      <c r="ES91" s="834"/>
      <c r="ET91" s="834"/>
      <c r="EU91" s="834"/>
      <c r="EV91" s="834"/>
      <c r="EW91" s="834"/>
      <c r="EX91" s="834"/>
      <c r="EY91" s="834"/>
      <c r="EZ91" s="834"/>
      <c r="FA91" s="834"/>
      <c r="FB91" s="834"/>
      <c r="FC91" s="834"/>
      <c r="FD91" s="834"/>
      <c r="FE91" s="834"/>
      <c r="FF91" s="834"/>
      <c r="FG91" s="834"/>
      <c r="FH91" s="834"/>
      <c r="FI91" s="834"/>
      <c r="FJ91" s="834"/>
      <c r="FK91" s="834"/>
      <c r="FL91" s="834"/>
      <c r="FM91" s="834"/>
      <c r="FN91" s="834"/>
      <c r="FO91" s="834"/>
      <c r="FP91" s="834"/>
      <c r="FQ91" s="834"/>
      <c r="FR91" s="834"/>
      <c r="FS91" s="834"/>
      <c r="FT91" s="834"/>
      <c r="FU91" s="834"/>
      <c r="FV91" s="834"/>
      <c r="FW91" s="834"/>
      <c r="FX91" s="834"/>
      <c r="FY91" s="834"/>
      <c r="FZ91" s="834"/>
      <c r="GA91" s="834"/>
      <c r="GB91" s="834"/>
      <c r="GC91" s="834"/>
      <c r="GD91" s="834"/>
      <c r="GE91" s="834"/>
      <c r="GF91" s="834"/>
      <c r="GG91" s="834"/>
      <c r="GH91" s="834"/>
      <c r="GI91" s="834"/>
      <c r="GJ91" s="834"/>
      <c r="GK91" s="834"/>
      <c r="GL91" s="834"/>
      <c r="GM91" s="834"/>
      <c r="GN91" s="834"/>
      <c r="GO91" s="834"/>
      <c r="GP91" s="834"/>
      <c r="GQ91" s="834"/>
      <c r="GR91" s="834"/>
      <c r="GS91" s="834"/>
      <c r="GT91" s="834"/>
      <c r="GU91" s="834"/>
      <c r="GV91" s="834"/>
      <c r="GW91" s="834"/>
      <c r="GX91" s="834"/>
      <c r="GY91" s="834"/>
      <c r="GZ91" s="834"/>
      <c r="HA91" s="834"/>
      <c r="HB91" s="834"/>
      <c r="HC91" s="834"/>
      <c r="HD91" s="834"/>
      <c r="HE91" s="834"/>
      <c r="HF91" s="834"/>
      <c r="HG91" s="834"/>
      <c r="HH91" s="834"/>
      <c r="HI91" s="834"/>
      <c r="HJ91" s="834"/>
      <c r="HK91" s="834"/>
      <c r="HL91" s="834"/>
      <c r="HM91" s="834"/>
      <c r="HN91" s="834"/>
      <c r="HO91" s="834"/>
      <c r="HP91" s="834"/>
      <c r="HQ91" s="834"/>
      <c r="HR91" s="834"/>
      <c r="HS91" s="834"/>
      <c r="HT91" s="834"/>
      <c r="HU91" s="834"/>
      <c r="HV91" s="834"/>
      <c r="HW91" s="834"/>
      <c r="HX91" s="834"/>
      <c r="HY91" s="834"/>
      <c r="HZ91" s="834"/>
      <c r="IA91" s="834"/>
      <c r="IB91" s="834"/>
      <c r="IC91" s="834"/>
      <c r="ID91" s="834"/>
      <c r="IE91" s="834"/>
      <c r="IF91" s="834"/>
      <c r="IG91" s="834"/>
      <c r="IH91" s="834"/>
      <c r="II91" s="834"/>
      <c r="IJ91" s="834"/>
      <c r="IK91" s="834"/>
      <c r="IL91" s="834"/>
      <c r="IM91" s="834"/>
      <c r="IN91" s="834"/>
      <c r="IO91" s="834"/>
      <c r="IP91" s="834"/>
      <c r="IQ91" s="834"/>
      <c r="IR91" s="834"/>
      <c r="IS91" s="834"/>
      <c r="IT91" s="834"/>
      <c r="IU91" s="834"/>
      <c r="IV91" s="834"/>
      <c r="IW91" s="834"/>
      <c r="IX91" s="834"/>
      <c r="IY91" s="834"/>
      <c r="IZ91" s="834"/>
      <c r="JA91" s="834"/>
      <c r="JB91" s="834"/>
      <c r="JC91" s="834"/>
      <c r="JD91" s="834"/>
      <c r="JE91" s="834"/>
      <c r="JF91" s="834"/>
      <c r="JG91" s="834"/>
      <c r="JH91" s="834"/>
      <c r="JI91" s="834"/>
      <c r="JJ91" s="834"/>
      <c r="JK91" s="834"/>
      <c r="JL91" s="834"/>
      <c r="JM91" s="834"/>
      <c r="JN91" s="834"/>
      <c r="JO91" s="834"/>
      <c r="JP91" s="834"/>
      <c r="JQ91" s="834"/>
      <c r="JR91" s="834"/>
      <c r="JS91" s="834"/>
      <c r="JT91" s="834"/>
      <c r="JU91" s="834"/>
      <c r="JV91" s="834"/>
      <c r="JW91" s="834"/>
      <c r="JX91" s="834"/>
      <c r="JY91" s="834"/>
      <c r="JZ91" s="834"/>
      <c r="KA91" s="834"/>
      <c r="KB91" s="834"/>
      <c r="KC91" s="834"/>
      <c r="KD91" s="834"/>
      <c r="KE91" s="834"/>
      <c r="KF91" s="834"/>
      <c r="KG91" s="834"/>
      <c r="KH91" s="834"/>
      <c r="KI91" s="834"/>
      <c r="KJ91" s="834"/>
      <c r="KK91" s="834"/>
      <c r="KL91" s="834"/>
      <c r="KM91" s="834"/>
      <c r="KN91" s="834"/>
      <c r="KO91" s="834"/>
      <c r="KP91" s="834"/>
      <c r="KQ91" s="834"/>
      <c r="KR91" s="834"/>
      <c r="KS91" s="834"/>
      <c r="KT91" s="834"/>
      <c r="KU91" s="834"/>
      <c r="KV91" s="834"/>
      <c r="KW91" s="834"/>
      <c r="KX91" s="834"/>
      <c r="KY91" s="834"/>
      <c r="KZ91" s="834"/>
      <c r="LA91" s="834"/>
      <c r="LB91" s="834"/>
      <c r="LC91" s="834"/>
      <c r="LD91" s="834"/>
      <c r="LE91" s="834"/>
      <c r="LF91" s="834"/>
      <c r="LG91" s="834"/>
      <c r="LH91" s="834"/>
      <c r="LI91" s="834"/>
      <c r="LJ91" s="834"/>
      <c r="LK91" s="834"/>
      <c r="LL91" s="834"/>
      <c r="LM91" s="834"/>
      <c r="LN91" s="834"/>
      <c r="LO91" s="834"/>
      <c r="LP91" s="834"/>
      <c r="LQ91" s="834"/>
      <c r="LR91" s="834"/>
      <c r="LS91" s="834"/>
      <c r="LT91" s="834"/>
      <c r="LU91" s="834"/>
      <c r="LV91" s="834"/>
      <c r="LW91" s="834"/>
      <c r="LX91" s="834"/>
      <c r="LY91" s="834"/>
      <c r="LZ91" s="834"/>
      <c r="MA91" s="834"/>
      <c r="MB91" s="834"/>
      <c r="MC91" s="834"/>
      <c r="MD91" s="834"/>
      <c r="ME91" s="834"/>
      <c r="MF91" s="834"/>
      <c r="MG91" s="834"/>
      <c r="MH91" s="834"/>
      <c r="MI91" s="834"/>
      <c r="MJ91" s="834"/>
      <c r="MK91" s="834"/>
      <c r="ML91" s="834"/>
      <c r="MM91" s="834"/>
      <c r="MN91" s="834"/>
      <c r="MO91" s="834"/>
      <c r="MP91" s="834"/>
      <c r="MQ91" s="834"/>
      <c r="MR91" s="834"/>
      <c r="MS91" s="834"/>
      <c r="MT91" s="834"/>
      <c r="MU91" s="834"/>
      <c r="MV91" s="834"/>
      <c r="MW91" s="834"/>
      <c r="MX91" s="834"/>
      <c r="MY91" s="834"/>
      <c r="MZ91" s="834"/>
      <c r="NA91" s="834"/>
      <c r="NB91" s="834"/>
      <c r="NC91" s="834"/>
      <c r="ND91" s="834"/>
      <c r="NE91" s="834"/>
      <c r="NF91" s="834"/>
      <c r="NG91" s="834"/>
      <c r="NH91" s="834"/>
      <c r="NI91" s="834"/>
      <c r="NJ91" s="834"/>
      <c r="NK91" s="834"/>
      <c r="NL91" s="834"/>
      <c r="NM91" s="834"/>
      <c r="NN91" s="834"/>
      <c r="NO91" s="834"/>
      <c r="NP91" s="834"/>
      <c r="NQ91" s="834"/>
      <c r="NR91" s="834"/>
      <c r="NS91" s="834"/>
      <c r="NT91" s="834"/>
      <c r="NU91" s="834"/>
      <c r="NV91" s="834"/>
      <c r="NW91" s="834"/>
      <c r="NX91" s="834"/>
      <c r="NY91" s="834"/>
      <c r="NZ91" s="834"/>
      <c r="OA91" s="834"/>
      <c r="OB91" s="834"/>
      <c r="OC91" s="834"/>
      <c r="OD91" s="834"/>
      <c r="OE91" s="834"/>
      <c r="OF91" s="834"/>
      <c r="OG91" s="834"/>
      <c r="OH91" s="834"/>
      <c r="OI91" s="834"/>
      <c r="OJ91" s="834"/>
      <c r="OK91" s="834"/>
      <c r="OL91" s="834"/>
      <c r="OM91" s="834"/>
      <c r="ON91" s="834"/>
      <c r="OO91" s="834"/>
      <c r="OP91" s="834"/>
      <c r="OQ91" s="834"/>
      <c r="OR91" s="834"/>
      <c r="OS91" s="834"/>
      <c r="OT91" s="834"/>
      <c r="OU91" s="834"/>
      <c r="OV91" s="834"/>
      <c r="OW91" s="834"/>
      <c r="OX91" s="834"/>
      <c r="OY91" s="834"/>
      <c r="OZ91" s="834"/>
      <c r="PA91" s="834"/>
      <c r="PB91" s="834"/>
      <c r="PC91" s="834"/>
      <c r="PD91" s="834"/>
      <c r="PE91" s="834"/>
      <c r="PF91" s="834"/>
      <c r="PG91" s="834"/>
      <c r="PH91" s="834"/>
      <c r="PI91" s="834"/>
      <c r="PJ91" s="834"/>
      <c r="PK91" s="834"/>
      <c r="PL91" s="834"/>
      <c r="PM91" s="834"/>
      <c r="PN91" s="834"/>
      <c r="PO91" s="834"/>
      <c r="PP91" s="834"/>
      <c r="PQ91" s="834"/>
      <c r="PR91" s="834"/>
      <c r="PS91" s="834"/>
      <c r="PT91" s="834"/>
      <c r="PU91" s="834"/>
      <c r="PV91" s="834"/>
      <c r="PW91" s="834"/>
      <c r="PX91" s="834"/>
      <c r="PY91" s="834"/>
      <c r="PZ91" s="834"/>
      <c r="QA91" s="834"/>
      <c r="QB91" s="834"/>
      <c r="QC91" s="834"/>
      <c r="QD91" s="834"/>
      <c r="QE91" s="834"/>
      <c r="QF91" s="834"/>
      <c r="QG91" s="834"/>
      <c r="QH91" s="834"/>
      <c r="QI91" s="834"/>
      <c r="QJ91" s="834"/>
      <c r="QK91" s="834"/>
      <c r="QL91" s="834"/>
      <c r="QM91" s="834"/>
      <c r="QN91" s="834"/>
      <c r="QO91" s="834"/>
      <c r="QP91" s="834"/>
      <c r="QQ91" s="834"/>
      <c r="QR91" s="834"/>
      <c r="QS91" s="834"/>
      <c r="QT91" s="834"/>
      <c r="QU91" s="834"/>
      <c r="QV91" s="834"/>
      <c r="QW91" s="834"/>
      <c r="QX91" s="834"/>
      <c r="QY91" s="834"/>
      <c r="QZ91" s="834"/>
      <c r="RA91" s="834"/>
      <c r="RB91" s="834"/>
      <c r="RC91" s="834"/>
      <c r="RD91" s="834"/>
      <c r="RE91" s="834"/>
      <c r="RF91" s="834"/>
      <c r="RG91" s="834"/>
      <c r="RH91" s="834"/>
      <c r="RI91" s="834"/>
      <c r="RJ91" s="834"/>
      <c r="RK91" s="834"/>
      <c r="RL91" s="834"/>
      <c r="RM91" s="834"/>
      <c r="RN91" s="834"/>
      <c r="RO91" s="834"/>
      <c r="RP91" s="834"/>
      <c r="RQ91" s="834"/>
      <c r="RR91" s="834"/>
      <c r="RS91" s="834"/>
      <c r="RT91" s="834"/>
      <c r="RU91" s="834"/>
      <c r="RV91" s="834"/>
      <c r="RW91" s="834"/>
      <c r="RX91" s="834"/>
      <c r="RY91" s="834"/>
      <c r="RZ91" s="834"/>
      <c r="SA91" s="834"/>
      <c r="SB91" s="834"/>
      <c r="SC91" s="834"/>
      <c r="SD91" s="834"/>
      <c r="SE91" s="834"/>
      <c r="SF91" s="834"/>
      <c r="SG91" s="834"/>
      <c r="SH91" s="834"/>
      <c r="SI91" s="834"/>
      <c r="SJ91" s="834"/>
      <c r="SK91" s="834"/>
      <c r="SL91" s="834"/>
      <c r="SM91" s="834"/>
      <c r="SN91" s="834"/>
      <c r="SO91" s="834"/>
      <c r="SP91" s="834"/>
      <c r="SQ91" s="834"/>
      <c r="SR91" s="834"/>
      <c r="SS91" s="834"/>
      <c r="ST91" s="834"/>
      <c r="SU91" s="834"/>
      <c r="SV91" s="834"/>
      <c r="SW91" s="834"/>
      <c r="SX91" s="834"/>
      <c r="SY91" s="834"/>
      <c r="SZ91" s="834"/>
      <c r="TA91" s="834"/>
      <c r="TB91" s="834"/>
      <c r="TC91" s="834"/>
      <c r="TD91" s="834"/>
      <c r="TE91" s="834"/>
      <c r="TF91" s="834"/>
      <c r="TG91" s="834"/>
      <c r="TH91" s="834"/>
      <c r="TI91" s="834"/>
      <c r="TJ91" s="834"/>
      <c r="TK91" s="834"/>
      <c r="TL91" s="834"/>
      <c r="TM91" s="834"/>
      <c r="TN91" s="834"/>
      <c r="TO91" s="834"/>
      <c r="TP91" s="834"/>
      <c r="TQ91" s="834"/>
      <c r="TR91" s="834"/>
      <c r="TS91" s="834"/>
      <c r="TT91" s="834"/>
      <c r="TU91" s="834"/>
      <c r="TV91" s="834"/>
      <c r="TW91" s="834"/>
      <c r="TX91" s="834"/>
      <c r="TY91" s="834"/>
      <c r="TZ91" s="834"/>
      <c r="UA91" s="834"/>
      <c r="UB91" s="834"/>
      <c r="UC91" s="834"/>
      <c r="UD91" s="834"/>
      <c r="UE91" s="834"/>
      <c r="UF91" s="834"/>
      <c r="UG91" s="834"/>
      <c r="UH91" s="834"/>
      <c r="UI91" s="834"/>
      <c r="UJ91" s="834"/>
      <c r="UK91" s="834"/>
      <c r="UL91" s="834"/>
      <c r="UM91" s="834"/>
      <c r="UN91" s="834"/>
      <c r="UO91" s="834"/>
      <c r="UP91" s="834"/>
      <c r="UQ91" s="834"/>
      <c r="UR91" s="834"/>
      <c r="US91" s="834"/>
      <c r="UT91" s="834"/>
      <c r="UU91" s="834"/>
      <c r="UV91" s="834"/>
      <c r="UW91" s="834"/>
      <c r="UX91" s="834"/>
      <c r="UY91" s="834"/>
      <c r="UZ91" s="834"/>
      <c r="VA91" s="834"/>
      <c r="VB91" s="834"/>
      <c r="VC91" s="834"/>
      <c r="VD91" s="834"/>
      <c r="VE91" s="834"/>
      <c r="VF91" s="834"/>
      <c r="VG91" s="834"/>
      <c r="VH91" s="834"/>
      <c r="VI91" s="834"/>
      <c r="VJ91" s="834"/>
      <c r="VK91" s="834"/>
      <c r="VL91" s="834"/>
      <c r="VM91" s="834"/>
      <c r="VN91" s="834"/>
      <c r="VO91" s="834"/>
      <c r="VP91" s="834"/>
      <c r="VQ91" s="834"/>
      <c r="VR91" s="834"/>
      <c r="VS91" s="834"/>
      <c r="VT91" s="834"/>
      <c r="VU91" s="834"/>
      <c r="VV91" s="834"/>
      <c r="VW91" s="834"/>
      <c r="VX91" s="834"/>
      <c r="VY91" s="834"/>
      <c r="VZ91" s="834"/>
      <c r="WA91" s="834"/>
      <c r="WB91" s="834"/>
      <c r="WC91" s="834"/>
      <c r="WD91" s="834"/>
      <c r="WE91" s="834"/>
      <c r="WF91" s="834"/>
      <c r="WG91" s="834"/>
      <c r="WH91" s="834"/>
      <c r="WI91" s="834"/>
      <c r="WJ91" s="834"/>
      <c r="WK91" s="834"/>
      <c r="WL91" s="834"/>
      <c r="WM91" s="834"/>
      <c r="WN91" s="834"/>
      <c r="WO91" s="834"/>
      <c r="WP91" s="834"/>
      <c r="WQ91" s="834"/>
      <c r="WR91" s="834"/>
      <c r="WS91" s="834"/>
      <c r="WT91" s="834"/>
      <c r="WU91" s="834"/>
      <c r="WV91" s="834"/>
      <c r="WW91" s="834"/>
      <c r="WX91" s="834"/>
      <c r="WY91" s="834"/>
      <c r="WZ91" s="834"/>
      <c r="XA91" s="834"/>
      <c r="XB91" s="834"/>
      <c r="XC91" s="834"/>
      <c r="XD91" s="834"/>
      <c r="XE91" s="834"/>
      <c r="XF91" s="834"/>
      <c r="XG91" s="834"/>
      <c r="XH91" s="834"/>
      <c r="XI91" s="834"/>
      <c r="XJ91" s="834"/>
      <c r="XK91" s="834"/>
      <c r="XL91" s="834"/>
      <c r="XM91" s="834"/>
      <c r="XN91" s="834"/>
      <c r="XO91" s="834"/>
      <c r="XP91" s="834"/>
      <c r="XQ91" s="834"/>
      <c r="XR91" s="834"/>
      <c r="XS91" s="834"/>
      <c r="XT91" s="834"/>
      <c r="XU91" s="834"/>
      <c r="XV91" s="834"/>
      <c r="XW91" s="834"/>
      <c r="XX91" s="834"/>
      <c r="XY91" s="834"/>
      <c r="XZ91" s="834"/>
      <c r="YA91" s="834"/>
      <c r="YB91" s="834"/>
      <c r="YC91" s="834"/>
      <c r="YD91" s="834"/>
      <c r="YE91" s="834"/>
      <c r="YF91" s="834"/>
      <c r="YG91" s="834"/>
      <c r="YH91" s="834"/>
      <c r="YI91" s="834"/>
      <c r="YJ91" s="834"/>
      <c r="YK91" s="834"/>
      <c r="YL91" s="834"/>
      <c r="YM91" s="834"/>
      <c r="YN91" s="834"/>
      <c r="YO91" s="834"/>
      <c r="YP91" s="834"/>
      <c r="YQ91" s="834"/>
      <c r="YR91" s="834"/>
      <c r="YS91" s="834"/>
      <c r="YT91" s="834"/>
      <c r="YU91" s="834"/>
      <c r="YV91" s="834"/>
      <c r="YW91" s="834"/>
      <c r="YX91" s="834"/>
      <c r="YY91" s="834"/>
      <c r="YZ91" s="834"/>
      <c r="ZA91" s="834"/>
      <c r="ZB91" s="834"/>
      <c r="ZC91" s="834"/>
      <c r="ZD91" s="834"/>
      <c r="ZE91" s="834"/>
      <c r="ZF91" s="834"/>
      <c r="ZG91" s="834"/>
      <c r="ZH91" s="834"/>
      <c r="ZI91" s="834"/>
      <c r="ZJ91" s="834"/>
      <c r="ZK91" s="834"/>
      <c r="ZL91" s="834"/>
      <c r="ZM91" s="834"/>
      <c r="ZN91" s="834"/>
      <c r="ZO91" s="834"/>
      <c r="ZP91" s="834"/>
      <c r="ZQ91" s="834"/>
      <c r="ZR91" s="834"/>
      <c r="ZS91" s="834"/>
      <c r="ZT91" s="834"/>
      <c r="ZU91" s="834"/>
      <c r="ZV91" s="834"/>
      <c r="ZW91" s="834"/>
      <c r="ZX91" s="834"/>
      <c r="ZY91" s="834"/>
      <c r="ZZ91" s="834"/>
      <c r="AAA91" s="834"/>
      <c r="AAB91" s="834"/>
      <c r="AAC91" s="834"/>
      <c r="AAD91" s="834"/>
      <c r="AAE91" s="834"/>
      <c r="AAF91" s="834"/>
      <c r="AAG91" s="834"/>
      <c r="AAH91" s="834"/>
      <c r="AAI91" s="834"/>
      <c r="AAJ91" s="834"/>
      <c r="AAK91" s="834"/>
      <c r="AAL91" s="834"/>
      <c r="AAM91" s="834"/>
      <c r="AAN91" s="834"/>
      <c r="AAO91" s="834"/>
      <c r="AAP91" s="834"/>
      <c r="AAQ91" s="834"/>
      <c r="AAR91" s="834"/>
      <c r="AAS91" s="834"/>
      <c r="AAT91" s="834"/>
      <c r="AAU91" s="834"/>
      <c r="AAV91" s="834"/>
      <c r="AAW91" s="834"/>
      <c r="AAX91" s="834"/>
      <c r="AAY91" s="834"/>
      <c r="AAZ91" s="834"/>
      <c r="ABA91" s="834"/>
      <c r="ABB91" s="834"/>
      <c r="ABC91" s="834"/>
      <c r="ABD91" s="834"/>
      <c r="ABE91" s="834"/>
      <c r="ABF91" s="834"/>
      <c r="ABG91" s="834"/>
      <c r="ABH91" s="834"/>
      <c r="ABI91" s="834"/>
      <c r="ABJ91" s="834"/>
      <c r="ABK91" s="834"/>
      <c r="ABL91" s="834"/>
      <c r="ABM91" s="834"/>
      <c r="ABN91" s="834"/>
      <c r="ABO91" s="834"/>
      <c r="ABP91" s="834"/>
      <c r="ABQ91" s="834"/>
      <c r="ABR91" s="834"/>
      <c r="ABS91" s="834"/>
      <c r="ABT91" s="834"/>
      <c r="ABU91" s="834"/>
      <c r="ABV91" s="834"/>
      <c r="ABW91" s="834"/>
      <c r="ABX91" s="834"/>
      <c r="ABY91" s="834"/>
      <c r="ABZ91" s="834"/>
      <c r="ACA91" s="834"/>
      <c r="ACB91" s="834"/>
      <c r="ACC91" s="834"/>
      <c r="ACD91" s="834"/>
      <c r="ACE91" s="834"/>
      <c r="ACF91" s="834"/>
      <c r="ACG91" s="834"/>
      <c r="ACH91" s="834"/>
      <c r="ACI91" s="834"/>
      <c r="ACJ91" s="834"/>
      <c r="ACK91" s="834"/>
      <c r="ACL91" s="834"/>
      <c r="ACM91" s="834"/>
      <c r="ACN91" s="834"/>
      <c r="ACO91" s="834"/>
      <c r="ACP91" s="834"/>
      <c r="ACQ91" s="834"/>
      <c r="ACR91" s="834"/>
      <c r="ACS91" s="834"/>
      <c r="ACT91" s="834"/>
      <c r="ACU91" s="834"/>
      <c r="ACV91" s="834"/>
      <c r="ACW91" s="834"/>
      <c r="ACX91" s="834"/>
      <c r="ACY91" s="834"/>
      <c r="ACZ91" s="834"/>
      <c r="ADA91" s="834"/>
      <c r="ADB91" s="834"/>
      <c r="ADC91" s="834"/>
      <c r="ADD91" s="834"/>
      <c r="ADE91" s="834"/>
      <c r="ADF91" s="834"/>
      <c r="ADG91" s="834"/>
      <c r="ADH91" s="834"/>
      <c r="ADI91" s="834"/>
      <c r="ADJ91" s="834"/>
      <c r="ADK91" s="834"/>
      <c r="ADL91" s="834"/>
      <c r="ADM91" s="834"/>
      <c r="ADN91" s="834"/>
      <c r="ADO91" s="834"/>
      <c r="ADP91" s="834"/>
      <c r="ADQ91" s="834"/>
      <c r="ADR91" s="834"/>
      <c r="ADS91" s="834"/>
      <c r="ADT91" s="834"/>
      <c r="ADU91" s="834"/>
      <c r="ADV91" s="834"/>
      <c r="ADW91" s="834"/>
      <c r="ADX91" s="834"/>
      <c r="ADY91" s="834"/>
      <c r="ADZ91" s="834"/>
      <c r="AEA91" s="834"/>
      <c r="AEB91" s="834"/>
      <c r="AEC91" s="834"/>
      <c r="AED91" s="834"/>
      <c r="AEE91" s="834"/>
      <c r="AEF91" s="834"/>
      <c r="AEG91" s="834"/>
      <c r="AEH91" s="834"/>
      <c r="AEI91" s="834"/>
      <c r="AEJ91" s="834"/>
      <c r="AEK91" s="834"/>
      <c r="AEL91" s="834"/>
      <c r="AEM91" s="834"/>
      <c r="AEN91" s="834"/>
      <c r="AEO91" s="834"/>
      <c r="AEP91" s="834"/>
      <c r="AEQ91" s="834"/>
      <c r="AER91" s="834"/>
      <c r="AES91" s="834"/>
      <c r="AET91" s="834"/>
      <c r="AEU91" s="834"/>
      <c r="AEV91" s="834"/>
      <c r="AEW91" s="834"/>
      <c r="AEX91" s="834"/>
      <c r="AEY91" s="834"/>
      <c r="AEZ91" s="834"/>
      <c r="AFA91" s="834"/>
      <c r="AFB91" s="834"/>
      <c r="AFC91" s="834"/>
      <c r="AFD91" s="834"/>
      <c r="AFE91" s="834"/>
      <c r="AFF91" s="834"/>
      <c r="AFG91" s="834"/>
      <c r="AFH91" s="834"/>
      <c r="AFI91" s="834"/>
      <c r="AFJ91" s="834"/>
      <c r="AFK91" s="834"/>
      <c r="AFL91" s="834"/>
      <c r="AFM91" s="834"/>
      <c r="AFN91" s="834"/>
      <c r="AFO91" s="834"/>
      <c r="AFP91" s="834"/>
      <c r="AFQ91" s="834"/>
      <c r="AFR91" s="834"/>
      <c r="AFS91" s="834"/>
      <c r="AFT91" s="834"/>
      <c r="AFU91" s="834"/>
      <c r="AFV91" s="834"/>
      <c r="AFW91" s="834"/>
      <c r="AFX91" s="834"/>
      <c r="AFY91" s="834"/>
      <c r="AFZ91" s="834"/>
      <c r="AGA91" s="834"/>
      <c r="AGB91" s="834"/>
      <c r="AGC91" s="834"/>
      <c r="AGD91" s="834"/>
      <c r="AGE91" s="834"/>
      <c r="AGF91" s="834"/>
      <c r="AGG91" s="834"/>
      <c r="AGH91" s="834"/>
      <c r="AGI91" s="834"/>
      <c r="AGJ91" s="834"/>
      <c r="AGK91" s="834"/>
      <c r="AGL91" s="834"/>
      <c r="AGM91" s="834"/>
      <c r="AGN91" s="834"/>
      <c r="AGO91" s="834"/>
      <c r="AGP91" s="834"/>
      <c r="AGQ91" s="834"/>
      <c r="AGR91" s="834"/>
      <c r="AGS91" s="834"/>
      <c r="AGT91" s="834"/>
      <c r="AGU91" s="834"/>
      <c r="AGV91" s="834"/>
      <c r="AGW91" s="834"/>
      <c r="AGX91" s="834"/>
      <c r="AGY91" s="834"/>
      <c r="AGZ91" s="834"/>
      <c r="AHA91" s="834"/>
      <c r="AHB91" s="834"/>
      <c r="AHC91" s="834"/>
      <c r="AHD91" s="834"/>
      <c r="AHE91" s="834"/>
      <c r="AHF91" s="834"/>
      <c r="AHG91" s="834"/>
      <c r="AHH91" s="834"/>
      <c r="AHI91" s="834"/>
      <c r="AHJ91" s="834"/>
      <c r="AHK91" s="834"/>
      <c r="AHL91" s="834"/>
      <c r="AHM91" s="834"/>
      <c r="AHN91" s="834"/>
      <c r="AHO91" s="834"/>
      <c r="AHP91" s="834"/>
      <c r="AHQ91" s="834"/>
      <c r="AHR91" s="834"/>
      <c r="AHS91" s="834"/>
      <c r="AHT91" s="834"/>
      <c r="AHU91" s="834"/>
      <c r="AHV91" s="834"/>
      <c r="AHW91" s="834"/>
      <c r="AHX91" s="834"/>
      <c r="AHY91" s="834"/>
      <c r="AHZ91" s="834"/>
      <c r="AIA91" s="834"/>
      <c r="AIB91" s="834"/>
      <c r="AIC91" s="834"/>
      <c r="AID91" s="834"/>
      <c r="AIE91" s="834"/>
      <c r="AIF91" s="834"/>
      <c r="AIG91" s="834"/>
      <c r="AIH91" s="834"/>
      <c r="AII91" s="834"/>
      <c r="AIJ91" s="834"/>
      <c r="AIK91" s="834"/>
      <c r="AIL91" s="834"/>
      <c r="AIM91" s="834"/>
      <c r="AIN91" s="834"/>
      <c r="AIO91" s="834"/>
      <c r="AIP91" s="834"/>
      <c r="AIQ91" s="834"/>
      <c r="AIR91" s="834"/>
      <c r="AIS91" s="834"/>
      <c r="AIT91" s="834"/>
      <c r="AIU91" s="834"/>
      <c r="AIV91" s="834"/>
      <c r="AIW91" s="834"/>
      <c r="AIX91" s="834"/>
      <c r="AIY91" s="834"/>
      <c r="AIZ91" s="834"/>
      <c r="AJA91" s="834"/>
      <c r="AJB91" s="834"/>
      <c r="AJC91" s="834"/>
      <c r="AJD91" s="834"/>
      <c r="AJE91" s="834"/>
      <c r="AJF91" s="834"/>
      <c r="AJG91" s="834"/>
      <c r="AJH91" s="834"/>
      <c r="AJI91" s="834"/>
      <c r="AJJ91" s="834"/>
      <c r="AJK91" s="834"/>
      <c r="AJL91" s="834"/>
      <c r="AJM91" s="834"/>
      <c r="AJN91" s="834"/>
      <c r="AJO91" s="834"/>
      <c r="AJP91" s="834"/>
      <c r="AJQ91" s="834"/>
      <c r="AJR91" s="834"/>
      <c r="AJS91" s="834"/>
      <c r="AJT91" s="834"/>
      <c r="AJU91" s="834"/>
      <c r="AJV91" s="834"/>
      <c r="AJW91" s="834"/>
      <c r="AJX91" s="834"/>
      <c r="AJY91" s="834"/>
      <c r="AJZ91" s="834"/>
      <c r="AKA91" s="834"/>
      <c r="AKB91" s="834"/>
      <c r="AKC91" s="834"/>
      <c r="AKD91" s="834"/>
      <c r="AKE91" s="834"/>
      <c r="AKF91" s="834"/>
      <c r="AKG91" s="834"/>
      <c r="AKH91" s="834"/>
      <c r="AKI91" s="834"/>
      <c r="AKJ91" s="834"/>
      <c r="AKK91" s="834"/>
      <c r="AKL91" s="834"/>
      <c r="AKM91" s="834"/>
      <c r="AKN91" s="834"/>
      <c r="AKO91" s="834"/>
      <c r="AKP91" s="834"/>
      <c r="AKQ91" s="834"/>
      <c r="AKR91" s="834"/>
      <c r="AKS91" s="834"/>
      <c r="AKT91" s="834"/>
      <c r="AKU91" s="834"/>
      <c r="AKV91" s="834"/>
      <c r="AKW91" s="834"/>
      <c r="AKX91" s="834"/>
      <c r="AKY91" s="834"/>
      <c r="AKZ91" s="834"/>
      <c r="ALA91" s="834"/>
      <c r="ALB91" s="834"/>
      <c r="ALC91" s="834"/>
      <c r="ALD91" s="834"/>
      <c r="ALE91" s="834"/>
      <c r="ALF91" s="834"/>
      <c r="ALG91" s="834"/>
      <c r="ALH91" s="834"/>
      <c r="ALI91" s="834"/>
      <c r="ALJ91" s="834"/>
      <c r="ALK91" s="834"/>
      <c r="ALL91" s="834"/>
      <c r="ALM91" s="834"/>
      <c r="ALN91" s="834"/>
      <c r="ALO91" s="834"/>
      <c r="ALP91" s="834"/>
      <c r="ALQ91" s="834"/>
      <c r="ALR91" s="834"/>
      <c r="ALS91" s="834"/>
      <c r="ALT91" s="834"/>
      <c r="ALU91" s="834"/>
      <c r="ALV91" s="834"/>
      <c r="ALW91" s="834"/>
      <c r="ALX91" s="834"/>
      <c r="ALY91" s="834"/>
      <c r="ALZ91" s="834"/>
      <c r="AMA91" s="834"/>
      <c r="AMB91" s="834"/>
      <c r="AMC91" s="834"/>
      <c r="AMD91" s="834"/>
      <c r="AME91" s="834"/>
      <c r="AMF91" s="834"/>
      <c r="AMG91" s="834"/>
      <c r="AMH91" s="834"/>
      <c r="AMI91" s="834"/>
      <c r="AMJ91" s="834"/>
      <c r="AMK91" s="834"/>
      <c r="AML91" s="834"/>
    </row>
    <row r="92" spans="1:1026" s="826" customFormat="1" ht="24.95" customHeight="1" outlineLevel="1">
      <c r="A92" s="900"/>
      <c r="B92" s="901" t="s">
        <v>211</v>
      </c>
      <c r="C92" s="921"/>
      <c r="D92" s="922" t="s">
        <v>212</v>
      </c>
      <c r="E92" s="418"/>
      <c r="F92" s="928"/>
      <c r="G92" s="933"/>
      <c r="H92" s="905"/>
      <c r="I92" s="900"/>
      <c r="J92" s="917"/>
      <c r="K92" s="918"/>
      <c r="L92" s="834"/>
      <c r="M92" s="834"/>
      <c r="N92" s="834"/>
      <c r="O92" s="834"/>
      <c r="P92" s="834"/>
      <c r="Q92" s="834"/>
      <c r="R92" s="834"/>
      <c r="S92" s="834"/>
      <c r="T92" s="834"/>
      <c r="U92" s="834"/>
      <c r="V92" s="834"/>
      <c r="W92" s="834"/>
      <c r="X92" s="834"/>
      <c r="Y92" s="834"/>
      <c r="Z92" s="834"/>
      <c r="AA92" s="834"/>
      <c r="AB92" s="834"/>
      <c r="AC92" s="834"/>
      <c r="AD92" s="834"/>
      <c r="AE92" s="834"/>
      <c r="AF92" s="834"/>
      <c r="AG92" s="834"/>
      <c r="AH92" s="834"/>
      <c r="AI92" s="834"/>
      <c r="AJ92" s="834"/>
      <c r="AK92" s="834"/>
      <c r="AL92" s="834"/>
      <c r="AM92" s="834"/>
      <c r="AN92" s="834"/>
      <c r="AO92" s="834"/>
      <c r="AP92" s="834"/>
      <c r="AQ92" s="834"/>
      <c r="AR92" s="834"/>
      <c r="AS92" s="834"/>
      <c r="AT92" s="834"/>
      <c r="AU92" s="834"/>
      <c r="AV92" s="834"/>
      <c r="AW92" s="834"/>
      <c r="AX92" s="834"/>
      <c r="AY92" s="834"/>
      <c r="AZ92" s="834"/>
      <c r="BA92" s="834"/>
      <c r="BB92" s="834"/>
      <c r="BC92" s="834"/>
      <c r="BD92" s="834"/>
      <c r="BE92" s="834"/>
      <c r="BF92" s="834"/>
      <c r="BG92" s="834"/>
      <c r="BH92" s="834"/>
      <c r="BI92" s="834"/>
      <c r="BJ92" s="834"/>
      <c r="BK92" s="834"/>
      <c r="BL92" s="834"/>
      <c r="BM92" s="834"/>
      <c r="BN92" s="834"/>
      <c r="BO92" s="834"/>
      <c r="BP92" s="834"/>
      <c r="BQ92" s="834"/>
      <c r="BR92" s="834"/>
      <c r="BS92" s="834"/>
      <c r="BT92" s="834"/>
      <c r="BU92" s="834"/>
      <c r="BV92" s="834"/>
      <c r="BW92" s="834"/>
      <c r="BX92" s="834"/>
      <c r="BY92" s="834"/>
      <c r="BZ92" s="834"/>
      <c r="CA92" s="834"/>
      <c r="CB92" s="834"/>
      <c r="CC92" s="834"/>
      <c r="CD92" s="834"/>
      <c r="CE92" s="834"/>
      <c r="CF92" s="834"/>
      <c r="CG92" s="834"/>
      <c r="CH92" s="834"/>
      <c r="CI92" s="834"/>
      <c r="CJ92" s="834"/>
      <c r="CK92" s="834"/>
      <c r="CL92" s="834"/>
      <c r="CM92" s="834"/>
      <c r="CN92" s="834"/>
      <c r="CO92" s="834"/>
      <c r="CP92" s="834"/>
      <c r="CQ92" s="834"/>
      <c r="CR92" s="834"/>
      <c r="CS92" s="834"/>
      <c r="CT92" s="834"/>
      <c r="CU92" s="834"/>
      <c r="CV92" s="834"/>
      <c r="CW92" s="834"/>
      <c r="CX92" s="834"/>
      <c r="CY92" s="834"/>
      <c r="CZ92" s="834"/>
      <c r="DA92" s="834"/>
      <c r="DB92" s="834"/>
      <c r="DC92" s="834"/>
      <c r="DD92" s="834"/>
      <c r="DE92" s="834"/>
      <c r="DF92" s="834"/>
      <c r="DG92" s="834"/>
      <c r="DH92" s="834"/>
      <c r="DI92" s="834"/>
      <c r="DJ92" s="834"/>
      <c r="DK92" s="834"/>
      <c r="DL92" s="834"/>
      <c r="DM92" s="834"/>
      <c r="DN92" s="834"/>
      <c r="DO92" s="834"/>
      <c r="DP92" s="834"/>
      <c r="DQ92" s="834"/>
      <c r="DR92" s="834"/>
      <c r="DS92" s="834"/>
      <c r="DT92" s="834"/>
      <c r="DU92" s="834"/>
      <c r="DV92" s="834"/>
      <c r="DW92" s="834"/>
      <c r="DX92" s="834"/>
      <c r="DY92" s="834"/>
      <c r="DZ92" s="834"/>
      <c r="EA92" s="834"/>
      <c r="EB92" s="834"/>
      <c r="EC92" s="834"/>
      <c r="ED92" s="834"/>
      <c r="EE92" s="834"/>
      <c r="EF92" s="834"/>
      <c r="EG92" s="834"/>
      <c r="EH92" s="834"/>
      <c r="EI92" s="834"/>
      <c r="EJ92" s="834"/>
      <c r="EK92" s="834"/>
      <c r="EL92" s="834"/>
      <c r="EM92" s="834"/>
      <c r="EN92" s="834"/>
      <c r="EO92" s="834"/>
      <c r="EP92" s="834"/>
      <c r="EQ92" s="834"/>
      <c r="ER92" s="834"/>
      <c r="ES92" s="834"/>
      <c r="ET92" s="834"/>
      <c r="EU92" s="834"/>
      <c r="EV92" s="834"/>
      <c r="EW92" s="834"/>
      <c r="EX92" s="834"/>
      <c r="EY92" s="834"/>
      <c r="EZ92" s="834"/>
      <c r="FA92" s="834"/>
      <c r="FB92" s="834"/>
      <c r="FC92" s="834"/>
      <c r="FD92" s="834"/>
      <c r="FE92" s="834"/>
      <c r="FF92" s="834"/>
      <c r="FG92" s="834"/>
      <c r="FH92" s="834"/>
      <c r="FI92" s="834"/>
      <c r="FJ92" s="834"/>
      <c r="FK92" s="834"/>
      <c r="FL92" s="834"/>
      <c r="FM92" s="834"/>
      <c r="FN92" s="834"/>
      <c r="FO92" s="834"/>
      <c r="FP92" s="834"/>
      <c r="FQ92" s="834"/>
      <c r="FR92" s="834"/>
      <c r="FS92" s="834"/>
      <c r="FT92" s="834"/>
      <c r="FU92" s="834"/>
      <c r="FV92" s="834"/>
      <c r="FW92" s="834"/>
      <c r="FX92" s="834"/>
      <c r="FY92" s="834"/>
      <c r="FZ92" s="834"/>
      <c r="GA92" s="834"/>
      <c r="GB92" s="834"/>
      <c r="GC92" s="834"/>
      <c r="GD92" s="834"/>
      <c r="GE92" s="834"/>
      <c r="GF92" s="834"/>
      <c r="GG92" s="834"/>
      <c r="GH92" s="834"/>
      <c r="GI92" s="834"/>
      <c r="GJ92" s="834"/>
      <c r="GK92" s="834"/>
      <c r="GL92" s="834"/>
      <c r="GM92" s="834"/>
      <c r="GN92" s="834"/>
      <c r="GO92" s="834"/>
      <c r="GP92" s="834"/>
      <c r="GQ92" s="834"/>
      <c r="GR92" s="834"/>
      <c r="GS92" s="834"/>
      <c r="GT92" s="834"/>
      <c r="GU92" s="834"/>
      <c r="GV92" s="834"/>
      <c r="GW92" s="834"/>
      <c r="GX92" s="834"/>
      <c r="GY92" s="834"/>
      <c r="GZ92" s="834"/>
      <c r="HA92" s="834"/>
      <c r="HB92" s="834"/>
      <c r="HC92" s="834"/>
      <c r="HD92" s="834"/>
      <c r="HE92" s="834"/>
      <c r="HF92" s="834"/>
      <c r="HG92" s="834"/>
      <c r="HH92" s="834"/>
      <c r="HI92" s="834"/>
      <c r="HJ92" s="834"/>
      <c r="HK92" s="834"/>
      <c r="HL92" s="834"/>
      <c r="HM92" s="834"/>
      <c r="HN92" s="834"/>
      <c r="HO92" s="834"/>
      <c r="HP92" s="834"/>
      <c r="HQ92" s="834"/>
      <c r="HR92" s="834"/>
      <c r="HS92" s="834"/>
      <c r="HT92" s="834"/>
      <c r="HU92" s="834"/>
      <c r="HV92" s="834"/>
      <c r="HW92" s="834"/>
      <c r="HX92" s="834"/>
      <c r="HY92" s="834"/>
      <c r="HZ92" s="834"/>
      <c r="IA92" s="834"/>
      <c r="IB92" s="834"/>
      <c r="IC92" s="834"/>
      <c r="ID92" s="834"/>
      <c r="IE92" s="834"/>
      <c r="IF92" s="834"/>
      <c r="IG92" s="834"/>
      <c r="IH92" s="834"/>
      <c r="II92" s="834"/>
      <c r="IJ92" s="834"/>
      <c r="IK92" s="834"/>
      <c r="IL92" s="834"/>
      <c r="IM92" s="834"/>
      <c r="IN92" s="834"/>
      <c r="IO92" s="834"/>
      <c r="IP92" s="834"/>
      <c r="IQ92" s="834"/>
      <c r="IR92" s="834"/>
      <c r="IS92" s="834"/>
      <c r="IT92" s="834"/>
      <c r="IU92" s="834"/>
      <c r="IV92" s="834"/>
      <c r="IW92" s="834"/>
      <c r="IX92" s="834"/>
      <c r="IY92" s="834"/>
      <c r="IZ92" s="834"/>
      <c r="JA92" s="834"/>
      <c r="JB92" s="834"/>
      <c r="JC92" s="834"/>
      <c r="JD92" s="834"/>
      <c r="JE92" s="834"/>
      <c r="JF92" s="834"/>
      <c r="JG92" s="834"/>
      <c r="JH92" s="834"/>
      <c r="JI92" s="834"/>
      <c r="JJ92" s="834"/>
      <c r="JK92" s="834"/>
      <c r="JL92" s="834"/>
      <c r="JM92" s="834"/>
      <c r="JN92" s="834"/>
      <c r="JO92" s="834"/>
      <c r="JP92" s="834"/>
      <c r="JQ92" s="834"/>
      <c r="JR92" s="834"/>
      <c r="JS92" s="834"/>
      <c r="JT92" s="834"/>
      <c r="JU92" s="834"/>
      <c r="JV92" s="834"/>
      <c r="JW92" s="834"/>
      <c r="JX92" s="834"/>
      <c r="JY92" s="834"/>
      <c r="JZ92" s="834"/>
      <c r="KA92" s="834"/>
      <c r="KB92" s="834"/>
      <c r="KC92" s="834"/>
      <c r="KD92" s="834"/>
      <c r="KE92" s="834"/>
      <c r="KF92" s="834"/>
      <c r="KG92" s="834"/>
      <c r="KH92" s="834"/>
      <c r="KI92" s="834"/>
      <c r="KJ92" s="834"/>
      <c r="KK92" s="834"/>
      <c r="KL92" s="834"/>
      <c r="KM92" s="834"/>
      <c r="KN92" s="834"/>
      <c r="KO92" s="834"/>
      <c r="KP92" s="834"/>
      <c r="KQ92" s="834"/>
      <c r="KR92" s="834"/>
      <c r="KS92" s="834"/>
      <c r="KT92" s="834"/>
      <c r="KU92" s="834"/>
      <c r="KV92" s="834"/>
      <c r="KW92" s="834"/>
      <c r="KX92" s="834"/>
      <c r="KY92" s="834"/>
      <c r="KZ92" s="834"/>
      <c r="LA92" s="834"/>
      <c r="LB92" s="834"/>
      <c r="LC92" s="834"/>
      <c r="LD92" s="834"/>
      <c r="LE92" s="834"/>
      <c r="LF92" s="834"/>
      <c r="LG92" s="834"/>
      <c r="LH92" s="834"/>
      <c r="LI92" s="834"/>
      <c r="LJ92" s="834"/>
      <c r="LK92" s="834"/>
      <c r="LL92" s="834"/>
      <c r="LM92" s="834"/>
      <c r="LN92" s="834"/>
      <c r="LO92" s="834"/>
      <c r="LP92" s="834"/>
      <c r="LQ92" s="834"/>
      <c r="LR92" s="834"/>
      <c r="LS92" s="834"/>
      <c r="LT92" s="834"/>
      <c r="LU92" s="834"/>
      <c r="LV92" s="834"/>
      <c r="LW92" s="834"/>
      <c r="LX92" s="834"/>
      <c r="LY92" s="834"/>
      <c r="LZ92" s="834"/>
      <c r="MA92" s="834"/>
      <c r="MB92" s="834"/>
      <c r="MC92" s="834"/>
      <c r="MD92" s="834"/>
      <c r="ME92" s="834"/>
      <c r="MF92" s="834"/>
      <c r="MG92" s="834"/>
      <c r="MH92" s="834"/>
      <c r="MI92" s="834"/>
      <c r="MJ92" s="834"/>
      <c r="MK92" s="834"/>
      <c r="ML92" s="834"/>
      <c r="MM92" s="834"/>
      <c r="MN92" s="834"/>
      <c r="MO92" s="834"/>
      <c r="MP92" s="834"/>
      <c r="MQ92" s="834"/>
      <c r="MR92" s="834"/>
      <c r="MS92" s="834"/>
      <c r="MT92" s="834"/>
      <c r="MU92" s="834"/>
      <c r="MV92" s="834"/>
      <c r="MW92" s="834"/>
      <c r="MX92" s="834"/>
      <c r="MY92" s="834"/>
      <c r="MZ92" s="834"/>
      <c r="NA92" s="834"/>
      <c r="NB92" s="834"/>
      <c r="NC92" s="834"/>
      <c r="ND92" s="834"/>
      <c r="NE92" s="834"/>
      <c r="NF92" s="834"/>
      <c r="NG92" s="834"/>
      <c r="NH92" s="834"/>
      <c r="NI92" s="834"/>
      <c r="NJ92" s="834"/>
      <c r="NK92" s="834"/>
      <c r="NL92" s="834"/>
      <c r="NM92" s="834"/>
      <c r="NN92" s="834"/>
      <c r="NO92" s="834"/>
      <c r="NP92" s="834"/>
      <c r="NQ92" s="834"/>
      <c r="NR92" s="834"/>
      <c r="NS92" s="834"/>
      <c r="NT92" s="834"/>
      <c r="NU92" s="834"/>
      <c r="NV92" s="834"/>
      <c r="NW92" s="834"/>
      <c r="NX92" s="834"/>
      <c r="NY92" s="834"/>
      <c r="NZ92" s="834"/>
      <c r="OA92" s="834"/>
      <c r="OB92" s="834"/>
      <c r="OC92" s="834"/>
      <c r="OD92" s="834"/>
      <c r="OE92" s="834"/>
      <c r="OF92" s="834"/>
      <c r="OG92" s="834"/>
      <c r="OH92" s="834"/>
      <c r="OI92" s="834"/>
      <c r="OJ92" s="834"/>
      <c r="OK92" s="834"/>
      <c r="OL92" s="834"/>
      <c r="OM92" s="834"/>
      <c r="ON92" s="834"/>
      <c r="OO92" s="834"/>
      <c r="OP92" s="834"/>
      <c r="OQ92" s="834"/>
      <c r="OR92" s="834"/>
      <c r="OS92" s="834"/>
      <c r="OT92" s="834"/>
      <c r="OU92" s="834"/>
      <c r="OV92" s="834"/>
      <c r="OW92" s="834"/>
      <c r="OX92" s="834"/>
      <c r="OY92" s="834"/>
      <c r="OZ92" s="834"/>
      <c r="PA92" s="834"/>
      <c r="PB92" s="834"/>
      <c r="PC92" s="834"/>
      <c r="PD92" s="834"/>
      <c r="PE92" s="834"/>
      <c r="PF92" s="834"/>
      <c r="PG92" s="834"/>
      <c r="PH92" s="834"/>
      <c r="PI92" s="834"/>
      <c r="PJ92" s="834"/>
      <c r="PK92" s="834"/>
      <c r="PL92" s="834"/>
      <c r="PM92" s="834"/>
      <c r="PN92" s="834"/>
      <c r="PO92" s="834"/>
      <c r="PP92" s="834"/>
      <c r="PQ92" s="834"/>
      <c r="PR92" s="834"/>
      <c r="PS92" s="834"/>
      <c r="PT92" s="834"/>
      <c r="PU92" s="834"/>
      <c r="PV92" s="834"/>
      <c r="PW92" s="834"/>
      <c r="PX92" s="834"/>
      <c r="PY92" s="834"/>
      <c r="PZ92" s="834"/>
      <c r="QA92" s="834"/>
      <c r="QB92" s="834"/>
      <c r="QC92" s="834"/>
      <c r="QD92" s="834"/>
      <c r="QE92" s="834"/>
      <c r="QF92" s="834"/>
      <c r="QG92" s="834"/>
      <c r="QH92" s="834"/>
      <c r="QI92" s="834"/>
      <c r="QJ92" s="834"/>
      <c r="QK92" s="834"/>
      <c r="QL92" s="834"/>
      <c r="QM92" s="834"/>
      <c r="QN92" s="834"/>
      <c r="QO92" s="834"/>
      <c r="QP92" s="834"/>
      <c r="QQ92" s="834"/>
      <c r="QR92" s="834"/>
      <c r="QS92" s="834"/>
      <c r="QT92" s="834"/>
      <c r="QU92" s="834"/>
      <c r="QV92" s="834"/>
      <c r="QW92" s="834"/>
      <c r="QX92" s="834"/>
      <c r="QY92" s="834"/>
      <c r="QZ92" s="834"/>
      <c r="RA92" s="834"/>
      <c r="RB92" s="834"/>
      <c r="RC92" s="834"/>
      <c r="RD92" s="834"/>
      <c r="RE92" s="834"/>
      <c r="RF92" s="834"/>
      <c r="RG92" s="834"/>
      <c r="RH92" s="834"/>
      <c r="RI92" s="834"/>
      <c r="RJ92" s="834"/>
      <c r="RK92" s="834"/>
      <c r="RL92" s="834"/>
      <c r="RM92" s="834"/>
      <c r="RN92" s="834"/>
      <c r="RO92" s="834"/>
      <c r="RP92" s="834"/>
      <c r="RQ92" s="834"/>
      <c r="RR92" s="834"/>
      <c r="RS92" s="834"/>
      <c r="RT92" s="834"/>
      <c r="RU92" s="834"/>
      <c r="RV92" s="834"/>
      <c r="RW92" s="834"/>
      <c r="RX92" s="834"/>
      <c r="RY92" s="834"/>
      <c r="RZ92" s="834"/>
      <c r="SA92" s="834"/>
      <c r="SB92" s="834"/>
      <c r="SC92" s="834"/>
      <c r="SD92" s="834"/>
      <c r="SE92" s="834"/>
      <c r="SF92" s="834"/>
      <c r="SG92" s="834"/>
      <c r="SH92" s="834"/>
      <c r="SI92" s="834"/>
      <c r="SJ92" s="834"/>
      <c r="SK92" s="834"/>
      <c r="SL92" s="834"/>
      <c r="SM92" s="834"/>
      <c r="SN92" s="834"/>
      <c r="SO92" s="834"/>
      <c r="SP92" s="834"/>
      <c r="SQ92" s="834"/>
      <c r="SR92" s="834"/>
      <c r="SS92" s="834"/>
      <c r="ST92" s="834"/>
      <c r="SU92" s="834"/>
      <c r="SV92" s="834"/>
      <c r="SW92" s="834"/>
      <c r="SX92" s="834"/>
      <c r="SY92" s="834"/>
      <c r="SZ92" s="834"/>
      <c r="TA92" s="834"/>
      <c r="TB92" s="834"/>
      <c r="TC92" s="834"/>
      <c r="TD92" s="834"/>
      <c r="TE92" s="834"/>
      <c r="TF92" s="834"/>
      <c r="TG92" s="834"/>
      <c r="TH92" s="834"/>
      <c r="TI92" s="834"/>
      <c r="TJ92" s="834"/>
      <c r="TK92" s="834"/>
      <c r="TL92" s="834"/>
      <c r="TM92" s="834"/>
      <c r="TN92" s="834"/>
      <c r="TO92" s="834"/>
      <c r="TP92" s="834"/>
      <c r="TQ92" s="834"/>
      <c r="TR92" s="834"/>
      <c r="TS92" s="834"/>
      <c r="TT92" s="834"/>
      <c r="TU92" s="834"/>
      <c r="TV92" s="834"/>
      <c r="TW92" s="834"/>
      <c r="TX92" s="834"/>
      <c r="TY92" s="834"/>
      <c r="TZ92" s="834"/>
      <c r="UA92" s="834"/>
      <c r="UB92" s="834"/>
      <c r="UC92" s="834"/>
      <c r="UD92" s="834"/>
      <c r="UE92" s="834"/>
      <c r="UF92" s="834"/>
      <c r="UG92" s="834"/>
      <c r="UH92" s="834"/>
      <c r="UI92" s="834"/>
      <c r="UJ92" s="834"/>
      <c r="UK92" s="834"/>
      <c r="UL92" s="834"/>
      <c r="UM92" s="834"/>
      <c r="UN92" s="834"/>
      <c r="UO92" s="834"/>
      <c r="UP92" s="834"/>
      <c r="UQ92" s="834"/>
      <c r="UR92" s="834"/>
      <c r="US92" s="834"/>
      <c r="UT92" s="834"/>
      <c r="UU92" s="834"/>
      <c r="UV92" s="834"/>
      <c r="UW92" s="834"/>
      <c r="UX92" s="834"/>
      <c r="UY92" s="834"/>
      <c r="UZ92" s="834"/>
      <c r="VA92" s="834"/>
      <c r="VB92" s="834"/>
      <c r="VC92" s="834"/>
      <c r="VD92" s="834"/>
      <c r="VE92" s="834"/>
      <c r="VF92" s="834"/>
      <c r="VG92" s="834"/>
      <c r="VH92" s="834"/>
      <c r="VI92" s="834"/>
      <c r="VJ92" s="834"/>
      <c r="VK92" s="834"/>
      <c r="VL92" s="834"/>
      <c r="VM92" s="834"/>
      <c r="VN92" s="834"/>
      <c r="VO92" s="834"/>
      <c r="VP92" s="834"/>
      <c r="VQ92" s="834"/>
      <c r="VR92" s="834"/>
      <c r="VS92" s="834"/>
      <c r="VT92" s="834"/>
      <c r="VU92" s="834"/>
      <c r="VV92" s="834"/>
      <c r="VW92" s="834"/>
      <c r="VX92" s="834"/>
      <c r="VY92" s="834"/>
      <c r="VZ92" s="834"/>
      <c r="WA92" s="834"/>
      <c r="WB92" s="834"/>
      <c r="WC92" s="834"/>
      <c r="WD92" s="834"/>
      <c r="WE92" s="834"/>
      <c r="WF92" s="834"/>
      <c r="WG92" s="834"/>
      <c r="WH92" s="834"/>
      <c r="WI92" s="834"/>
      <c r="WJ92" s="834"/>
      <c r="WK92" s="834"/>
      <c r="WL92" s="834"/>
      <c r="WM92" s="834"/>
      <c r="WN92" s="834"/>
      <c r="WO92" s="834"/>
      <c r="WP92" s="834"/>
      <c r="WQ92" s="834"/>
      <c r="WR92" s="834"/>
      <c r="WS92" s="834"/>
      <c r="WT92" s="834"/>
      <c r="WU92" s="834"/>
      <c r="WV92" s="834"/>
      <c r="WW92" s="834"/>
      <c r="WX92" s="834"/>
      <c r="WY92" s="834"/>
      <c r="WZ92" s="834"/>
      <c r="XA92" s="834"/>
      <c r="XB92" s="834"/>
      <c r="XC92" s="834"/>
      <c r="XD92" s="834"/>
      <c r="XE92" s="834"/>
      <c r="XF92" s="834"/>
      <c r="XG92" s="834"/>
      <c r="XH92" s="834"/>
      <c r="XI92" s="834"/>
      <c r="XJ92" s="834"/>
      <c r="XK92" s="834"/>
      <c r="XL92" s="834"/>
      <c r="XM92" s="834"/>
      <c r="XN92" s="834"/>
      <c r="XO92" s="834"/>
      <c r="XP92" s="834"/>
      <c r="XQ92" s="834"/>
      <c r="XR92" s="834"/>
      <c r="XS92" s="834"/>
      <c r="XT92" s="834"/>
      <c r="XU92" s="834"/>
      <c r="XV92" s="834"/>
      <c r="XW92" s="834"/>
      <c r="XX92" s="834"/>
      <c r="XY92" s="834"/>
      <c r="XZ92" s="834"/>
      <c r="YA92" s="834"/>
      <c r="YB92" s="834"/>
      <c r="YC92" s="834"/>
      <c r="YD92" s="834"/>
      <c r="YE92" s="834"/>
      <c r="YF92" s="834"/>
      <c r="YG92" s="834"/>
      <c r="YH92" s="834"/>
      <c r="YI92" s="834"/>
      <c r="YJ92" s="834"/>
      <c r="YK92" s="834"/>
      <c r="YL92" s="834"/>
      <c r="YM92" s="834"/>
      <c r="YN92" s="834"/>
      <c r="YO92" s="834"/>
      <c r="YP92" s="834"/>
      <c r="YQ92" s="834"/>
      <c r="YR92" s="834"/>
      <c r="YS92" s="834"/>
      <c r="YT92" s="834"/>
      <c r="YU92" s="834"/>
      <c r="YV92" s="834"/>
      <c r="YW92" s="834"/>
      <c r="YX92" s="834"/>
      <c r="YY92" s="834"/>
      <c r="YZ92" s="834"/>
      <c r="ZA92" s="834"/>
      <c r="ZB92" s="834"/>
      <c r="ZC92" s="834"/>
      <c r="ZD92" s="834"/>
      <c r="ZE92" s="834"/>
      <c r="ZF92" s="834"/>
      <c r="ZG92" s="834"/>
      <c r="ZH92" s="834"/>
      <c r="ZI92" s="834"/>
      <c r="ZJ92" s="834"/>
      <c r="ZK92" s="834"/>
      <c r="ZL92" s="834"/>
      <c r="ZM92" s="834"/>
      <c r="ZN92" s="834"/>
      <c r="ZO92" s="834"/>
      <c r="ZP92" s="834"/>
      <c r="ZQ92" s="834"/>
      <c r="ZR92" s="834"/>
      <c r="ZS92" s="834"/>
      <c r="ZT92" s="834"/>
      <c r="ZU92" s="834"/>
      <c r="ZV92" s="834"/>
      <c r="ZW92" s="834"/>
      <c r="ZX92" s="834"/>
      <c r="ZY92" s="834"/>
      <c r="ZZ92" s="834"/>
      <c r="AAA92" s="834"/>
      <c r="AAB92" s="834"/>
      <c r="AAC92" s="834"/>
      <c r="AAD92" s="834"/>
      <c r="AAE92" s="834"/>
      <c r="AAF92" s="834"/>
      <c r="AAG92" s="834"/>
      <c r="AAH92" s="834"/>
      <c r="AAI92" s="834"/>
      <c r="AAJ92" s="834"/>
      <c r="AAK92" s="834"/>
      <c r="AAL92" s="834"/>
      <c r="AAM92" s="834"/>
      <c r="AAN92" s="834"/>
      <c r="AAO92" s="834"/>
      <c r="AAP92" s="834"/>
      <c r="AAQ92" s="834"/>
      <c r="AAR92" s="834"/>
      <c r="AAS92" s="834"/>
      <c r="AAT92" s="834"/>
      <c r="AAU92" s="834"/>
      <c r="AAV92" s="834"/>
      <c r="AAW92" s="834"/>
      <c r="AAX92" s="834"/>
      <c r="AAY92" s="834"/>
      <c r="AAZ92" s="834"/>
      <c r="ABA92" s="834"/>
      <c r="ABB92" s="834"/>
      <c r="ABC92" s="834"/>
      <c r="ABD92" s="834"/>
      <c r="ABE92" s="834"/>
      <c r="ABF92" s="834"/>
      <c r="ABG92" s="834"/>
      <c r="ABH92" s="834"/>
      <c r="ABI92" s="834"/>
      <c r="ABJ92" s="834"/>
      <c r="ABK92" s="834"/>
      <c r="ABL92" s="834"/>
      <c r="ABM92" s="834"/>
      <c r="ABN92" s="834"/>
      <c r="ABO92" s="834"/>
      <c r="ABP92" s="834"/>
      <c r="ABQ92" s="834"/>
      <c r="ABR92" s="834"/>
      <c r="ABS92" s="834"/>
      <c r="ABT92" s="834"/>
      <c r="ABU92" s="834"/>
      <c r="ABV92" s="834"/>
      <c r="ABW92" s="834"/>
      <c r="ABX92" s="834"/>
      <c r="ABY92" s="834"/>
      <c r="ABZ92" s="834"/>
      <c r="ACA92" s="834"/>
      <c r="ACB92" s="834"/>
      <c r="ACC92" s="834"/>
      <c r="ACD92" s="834"/>
      <c r="ACE92" s="834"/>
      <c r="ACF92" s="834"/>
      <c r="ACG92" s="834"/>
      <c r="ACH92" s="834"/>
      <c r="ACI92" s="834"/>
      <c r="ACJ92" s="834"/>
      <c r="ACK92" s="834"/>
      <c r="ACL92" s="834"/>
      <c r="ACM92" s="834"/>
      <c r="ACN92" s="834"/>
      <c r="ACO92" s="834"/>
      <c r="ACP92" s="834"/>
      <c r="ACQ92" s="834"/>
      <c r="ACR92" s="834"/>
      <c r="ACS92" s="834"/>
      <c r="ACT92" s="834"/>
      <c r="ACU92" s="834"/>
      <c r="ACV92" s="834"/>
      <c r="ACW92" s="834"/>
      <c r="ACX92" s="834"/>
      <c r="ACY92" s="834"/>
      <c r="ACZ92" s="834"/>
      <c r="ADA92" s="834"/>
      <c r="ADB92" s="834"/>
      <c r="ADC92" s="834"/>
      <c r="ADD92" s="834"/>
      <c r="ADE92" s="834"/>
      <c r="ADF92" s="834"/>
      <c r="ADG92" s="834"/>
      <c r="ADH92" s="834"/>
      <c r="ADI92" s="834"/>
      <c r="ADJ92" s="834"/>
      <c r="ADK92" s="834"/>
      <c r="ADL92" s="834"/>
      <c r="ADM92" s="834"/>
      <c r="ADN92" s="834"/>
      <c r="ADO92" s="834"/>
      <c r="ADP92" s="834"/>
      <c r="ADQ92" s="834"/>
      <c r="ADR92" s="834"/>
      <c r="ADS92" s="834"/>
      <c r="ADT92" s="834"/>
      <c r="ADU92" s="834"/>
      <c r="ADV92" s="834"/>
      <c r="ADW92" s="834"/>
      <c r="ADX92" s="834"/>
      <c r="ADY92" s="834"/>
      <c r="ADZ92" s="834"/>
      <c r="AEA92" s="834"/>
      <c r="AEB92" s="834"/>
      <c r="AEC92" s="834"/>
      <c r="AED92" s="834"/>
      <c r="AEE92" s="834"/>
      <c r="AEF92" s="834"/>
      <c r="AEG92" s="834"/>
      <c r="AEH92" s="834"/>
      <c r="AEI92" s="834"/>
      <c r="AEJ92" s="834"/>
      <c r="AEK92" s="834"/>
      <c r="AEL92" s="834"/>
      <c r="AEM92" s="834"/>
      <c r="AEN92" s="834"/>
      <c r="AEO92" s="834"/>
      <c r="AEP92" s="834"/>
      <c r="AEQ92" s="834"/>
      <c r="AER92" s="834"/>
      <c r="AES92" s="834"/>
      <c r="AET92" s="834"/>
      <c r="AEU92" s="834"/>
      <c r="AEV92" s="834"/>
      <c r="AEW92" s="834"/>
      <c r="AEX92" s="834"/>
      <c r="AEY92" s="834"/>
      <c r="AEZ92" s="834"/>
      <c r="AFA92" s="834"/>
      <c r="AFB92" s="834"/>
      <c r="AFC92" s="834"/>
      <c r="AFD92" s="834"/>
      <c r="AFE92" s="834"/>
      <c r="AFF92" s="834"/>
      <c r="AFG92" s="834"/>
      <c r="AFH92" s="834"/>
      <c r="AFI92" s="834"/>
      <c r="AFJ92" s="834"/>
      <c r="AFK92" s="834"/>
      <c r="AFL92" s="834"/>
      <c r="AFM92" s="834"/>
      <c r="AFN92" s="834"/>
      <c r="AFO92" s="834"/>
      <c r="AFP92" s="834"/>
      <c r="AFQ92" s="834"/>
      <c r="AFR92" s="834"/>
      <c r="AFS92" s="834"/>
      <c r="AFT92" s="834"/>
      <c r="AFU92" s="834"/>
      <c r="AFV92" s="834"/>
      <c r="AFW92" s="834"/>
      <c r="AFX92" s="834"/>
      <c r="AFY92" s="834"/>
      <c r="AFZ92" s="834"/>
      <c r="AGA92" s="834"/>
      <c r="AGB92" s="834"/>
      <c r="AGC92" s="834"/>
      <c r="AGD92" s="834"/>
      <c r="AGE92" s="834"/>
      <c r="AGF92" s="834"/>
      <c r="AGG92" s="834"/>
      <c r="AGH92" s="834"/>
      <c r="AGI92" s="834"/>
      <c r="AGJ92" s="834"/>
      <c r="AGK92" s="834"/>
      <c r="AGL92" s="834"/>
      <c r="AGM92" s="834"/>
      <c r="AGN92" s="834"/>
      <c r="AGO92" s="834"/>
      <c r="AGP92" s="834"/>
      <c r="AGQ92" s="834"/>
      <c r="AGR92" s="834"/>
      <c r="AGS92" s="834"/>
      <c r="AGT92" s="834"/>
      <c r="AGU92" s="834"/>
      <c r="AGV92" s="834"/>
      <c r="AGW92" s="834"/>
      <c r="AGX92" s="834"/>
      <c r="AGY92" s="834"/>
      <c r="AGZ92" s="834"/>
      <c r="AHA92" s="834"/>
      <c r="AHB92" s="834"/>
      <c r="AHC92" s="834"/>
      <c r="AHD92" s="834"/>
      <c r="AHE92" s="834"/>
      <c r="AHF92" s="834"/>
      <c r="AHG92" s="834"/>
      <c r="AHH92" s="834"/>
      <c r="AHI92" s="834"/>
      <c r="AHJ92" s="834"/>
      <c r="AHK92" s="834"/>
      <c r="AHL92" s="834"/>
      <c r="AHM92" s="834"/>
      <c r="AHN92" s="834"/>
      <c r="AHO92" s="834"/>
      <c r="AHP92" s="834"/>
      <c r="AHQ92" s="834"/>
      <c r="AHR92" s="834"/>
      <c r="AHS92" s="834"/>
      <c r="AHT92" s="834"/>
      <c r="AHU92" s="834"/>
      <c r="AHV92" s="834"/>
      <c r="AHW92" s="834"/>
      <c r="AHX92" s="834"/>
      <c r="AHY92" s="834"/>
      <c r="AHZ92" s="834"/>
      <c r="AIA92" s="834"/>
      <c r="AIB92" s="834"/>
      <c r="AIC92" s="834"/>
      <c r="AID92" s="834"/>
      <c r="AIE92" s="834"/>
      <c r="AIF92" s="834"/>
      <c r="AIG92" s="834"/>
      <c r="AIH92" s="834"/>
      <c r="AII92" s="834"/>
      <c r="AIJ92" s="834"/>
      <c r="AIK92" s="834"/>
      <c r="AIL92" s="834"/>
      <c r="AIM92" s="834"/>
      <c r="AIN92" s="834"/>
      <c r="AIO92" s="834"/>
      <c r="AIP92" s="834"/>
      <c r="AIQ92" s="834"/>
      <c r="AIR92" s="834"/>
      <c r="AIS92" s="834"/>
      <c r="AIT92" s="834"/>
      <c r="AIU92" s="834"/>
      <c r="AIV92" s="834"/>
      <c r="AIW92" s="834"/>
      <c r="AIX92" s="834"/>
      <c r="AIY92" s="834"/>
      <c r="AIZ92" s="834"/>
      <c r="AJA92" s="834"/>
      <c r="AJB92" s="834"/>
      <c r="AJC92" s="834"/>
      <c r="AJD92" s="834"/>
      <c r="AJE92" s="834"/>
      <c r="AJF92" s="834"/>
      <c r="AJG92" s="834"/>
      <c r="AJH92" s="834"/>
      <c r="AJI92" s="834"/>
      <c r="AJJ92" s="834"/>
      <c r="AJK92" s="834"/>
      <c r="AJL92" s="834"/>
      <c r="AJM92" s="834"/>
      <c r="AJN92" s="834"/>
      <c r="AJO92" s="834"/>
      <c r="AJP92" s="834"/>
      <c r="AJQ92" s="834"/>
      <c r="AJR92" s="834"/>
      <c r="AJS92" s="834"/>
      <c r="AJT92" s="834"/>
      <c r="AJU92" s="834"/>
      <c r="AJV92" s="834"/>
      <c r="AJW92" s="834"/>
      <c r="AJX92" s="834"/>
      <c r="AJY92" s="834"/>
      <c r="AJZ92" s="834"/>
      <c r="AKA92" s="834"/>
      <c r="AKB92" s="834"/>
      <c r="AKC92" s="834"/>
      <c r="AKD92" s="834"/>
      <c r="AKE92" s="834"/>
      <c r="AKF92" s="834"/>
      <c r="AKG92" s="834"/>
      <c r="AKH92" s="834"/>
      <c r="AKI92" s="834"/>
      <c r="AKJ92" s="834"/>
      <c r="AKK92" s="834"/>
      <c r="AKL92" s="834"/>
      <c r="AKM92" s="834"/>
      <c r="AKN92" s="834"/>
      <c r="AKO92" s="834"/>
      <c r="AKP92" s="834"/>
      <c r="AKQ92" s="834"/>
      <c r="AKR92" s="834"/>
      <c r="AKS92" s="834"/>
      <c r="AKT92" s="834"/>
      <c r="AKU92" s="834"/>
      <c r="AKV92" s="834"/>
      <c r="AKW92" s="834"/>
      <c r="AKX92" s="834"/>
      <c r="AKY92" s="834"/>
      <c r="AKZ92" s="834"/>
      <c r="ALA92" s="834"/>
      <c r="ALB92" s="834"/>
      <c r="ALC92" s="834"/>
      <c r="ALD92" s="834"/>
      <c r="ALE92" s="834"/>
      <c r="ALF92" s="834"/>
      <c r="ALG92" s="834"/>
      <c r="ALH92" s="834"/>
      <c r="ALI92" s="834"/>
      <c r="ALJ92" s="834"/>
      <c r="ALK92" s="834"/>
      <c r="ALL92" s="834"/>
      <c r="ALM92" s="834"/>
      <c r="ALN92" s="834"/>
      <c r="ALO92" s="834"/>
      <c r="ALP92" s="834"/>
      <c r="ALQ92" s="834"/>
      <c r="ALR92" s="834"/>
      <c r="ALS92" s="834"/>
      <c r="ALT92" s="834"/>
      <c r="ALU92" s="834"/>
      <c r="ALV92" s="834"/>
      <c r="ALW92" s="834"/>
      <c r="ALX92" s="834"/>
      <c r="ALY92" s="834"/>
      <c r="ALZ92" s="834"/>
      <c r="AMA92" s="834"/>
      <c r="AMB92" s="834"/>
      <c r="AMC92" s="834"/>
      <c r="AMD92" s="834"/>
      <c r="AME92" s="834"/>
      <c r="AMF92" s="834"/>
      <c r="AMG92" s="834"/>
      <c r="AMH92" s="834"/>
      <c r="AMI92" s="834"/>
      <c r="AMJ92" s="834"/>
      <c r="AMK92" s="834"/>
      <c r="AML92" s="834"/>
    </row>
    <row r="93" spans="1:1026" ht="40.5" customHeight="1" outlineLevel="1">
      <c r="A93" s="844"/>
      <c r="B93" s="891" t="s">
        <v>213</v>
      </c>
      <c r="C93" s="879" t="s">
        <v>214</v>
      </c>
      <c r="D93" s="443" t="s">
        <v>215</v>
      </c>
      <c r="E93" s="935" t="s">
        <v>27</v>
      </c>
      <c r="F93" s="936">
        <f>Esquadrias!F62</f>
        <v>5.81</v>
      </c>
      <c r="G93" s="934">
        <f>K93</f>
        <v>508.81</v>
      </c>
      <c r="H93" s="883">
        <f t="shared" si="7"/>
        <v>2956.1860999999999</v>
      </c>
      <c r="I93" s="844"/>
      <c r="J93" s="841">
        <v>401.87</v>
      </c>
      <c r="K93" s="842">
        <f t="shared" si="8"/>
        <v>508.81</v>
      </c>
    </row>
    <row r="94" spans="1:1026" ht="24.95" customHeight="1" outlineLevel="1">
      <c r="A94" s="844"/>
      <c r="B94" s="875">
        <v>9</v>
      </c>
      <c r="C94" s="875"/>
      <c r="D94" s="447" t="s">
        <v>216</v>
      </c>
      <c r="E94" s="422"/>
      <c r="F94" s="876"/>
      <c r="G94" s="877"/>
      <c r="H94" s="878"/>
      <c r="I94" s="844"/>
    </row>
    <row r="95" spans="1:1026" ht="24.95" customHeight="1" outlineLevel="1">
      <c r="A95" s="844"/>
      <c r="B95" s="875" t="s">
        <v>217</v>
      </c>
      <c r="C95" s="875"/>
      <c r="D95" s="447" t="s">
        <v>218</v>
      </c>
      <c r="E95" s="422"/>
      <c r="F95" s="876"/>
      <c r="G95" s="877"/>
      <c r="H95" s="878"/>
      <c r="I95" s="844"/>
    </row>
    <row r="96" spans="1:1026" ht="53.25" customHeight="1" outlineLevel="1">
      <c r="A96" s="844"/>
      <c r="B96" s="891" t="s">
        <v>219</v>
      </c>
      <c r="C96" s="879" t="s">
        <v>220</v>
      </c>
      <c r="D96" s="443" t="s">
        <v>221</v>
      </c>
      <c r="E96" s="444" t="s">
        <v>27</v>
      </c>
      <c r="F96" s="881">
        <f>TELHADOS!F21</f>
        <v>1142.6690000000001</v>
      </c>
      <c r="G96" s="893">
        <f>K96</f>
        <v>113.54</v>
      </c>
      <c r="H96" s="883">
        <f>F96*G96</f>
        <v>129738.63826000002</v>
      </c>
      <c r="I96" s="844"/>
      <c r="J96" s="841">
        <v>89.68</v>
      </c>
      <c r="K96" s="842">
        <f t="shared" si="8"/>
        <v>113.54</v>
      </c>
    </row>
    <row r="97" spans="1:1026" ht="24.95" customHeight="1" outlineLevel="1">
      <c r="A97" s="844"/>
      <c r="B97" s="875" t="s">
        <v>222</v>
      </c>
      <c r="C97" s="875"/>
      <c r="D97" s="447" t="s">
        <v>223</v>
      </c>
      <c r="E97" s="422"/>
      <c r="F97" s="876"/>
      <c r="G97" s="877"/>
      <c r="H97" s="878"/>
      <c r="I97" s="844"/>
    </row>
    <row r="98" spans="1:1026" ht="36.75" customHeight="1" outlineLevel="1">
      <c r="A98" s="844"/>
      <c r="B98" s="891" t="s">
        <v>224</v>
      </c>
      <c r="C98" s="879" t="s">
        <v>225</v>
      </c>
      <c r="D98" s="443" t="s">
        <v>226</v>
      </c>
      <c r="E98" s="444" t="s">
        <v>27</v>
      </c>
      <c r="F98" s="881">
        <f>TELHADOS!F21</f>
        <v>1142.6690000000001</v>
      </c>
      <c r="G98" s="893">
        <f>K98</f>
        <v>58.42</v>
      </c>
      <c r="H98" s="883">
        <f>F98*G98</f>
        <v>66754.722980000006</v>
      </c>
      <c r="I98" s="844"/>
      <c r="J98" s="841">
        <v>46.14</v>
      </c>
      <c r="K98" s="842">
        <f t="shared" si="8"/>
        <v>58.42</v>
      </c>
    </row>
    <row r="99" spans="1:1026" ht="24.95" customHeight="1" outlineLevel="1">
      <c r="A99" s="844"/>
      <c r="B99" s="875" t="s">
        <v>227</v>
      </c>
      <c r="C99" s="875"/>
      <c r="D99" s="447" t="s">
        <v>228</v>
      </c>
      <c r="E99" s="422"/>
      <c r="F99" s="876"/>
      <c r="G99" s="877"/>
      <c r="H99" s="878"/>
      <c r="I99" s="844"/>
    </row>
    <row r="100" spans="1:1026" ht="24.95" customHeight="1" outlineLevel="1">
      <c r="A100" s="844"/>
      <c r="B100" s="891" t="s">
        <v>229</v>
      </c>
      <c r="C100" s="879" t="s">
        <v>230</v>
      </c>
      <c r="D100" s="443" t="s">
        <v>231</v>
      </c>
      <c r="E100" s="444" t="s">
        <v>38</v>
      </c>
      <c r="F100" s="881">
        <f>TELHADOS!G21</f>
        <v>314.06100000000004</v>
      </c>
      <c r="G100" s="893">
        <f>K100</f>
        <v>37.69</v>
      </c>
      <c r="H100" s="883">
        <f>F100*G100</f>
        <v>11836.95909</v>
      </c>
      <c r="I100" s="844"/>
      <c r="J100" s="841">
        <v>29.77</v>
      </c>
      <c r="K100" s="842">
        <f t="shared" si="8"/>
        <v>37.69</v>
      </c>
    </row>
    <row r="101" spans="1:1026" ht="24.95" customHeight="1" outlineLevel="1">
      <c r="A101" s="844"/>
      <c r="B101" s="875" t="s">
        <v>232</v>
      </c>
      <c r="C101" s="875"/>
      <c r="D101" s="447" t="s">
        <v>233</v>
      </c>
      <c r="E101" s="422"/>
      <c r="F101" s="876"/>
      <c r="G101" s="877"/>
      <c r="H101" s="878"/>
      <c r="I101" s="844"/>
    </row>
    <row r="102" spans="1:1026" ht="50.25" customHeight="1" outlineLevel="1">
      <c r="A102" s="844"/>
      <c r="B102" s="891" t="s">
        <v>234</v>
      </c>
      <c r="C102" s="879" t="s">
        <v>235</v>
      </c>
      <c r="D102" s="443" t="s">
        <v>236</v>
      </c>
      <c r="E102" s="444" t="s">
        <v>38</v>
      </c>
      <c r="F102" s="887">
        <f>TELHADOS!I31</f>
        <v>259.93</v>
      </c>
      <c r="G102" s="893">
        <f>K102</f>
        <v>128.78</v>
      </c>
      <c r="H102" s="883">
        <f>F102*G102</f>
        <v>33473.785400000001</v>
      </c>
      <c r="I102" s="844"/>
      <c r="J102" s="841">
        <v>101.71</v>
      </c>
      <c r="K102" s="842">
        <f t="shared" ref="K102" si="9">ROUND(J102*(1+$H$14),2)</f>
        <v>128.78</v>
      </c>
    </row>
    <row r="103" spans="1:1026" ht="24.95" customHeight="1" outlineLevel="1">
      <c r="A103" s="844"/>
      <c r="B103" s="875">
        <v>10</v>
      </c>
      <c r="C103" s="875"/>
      <c r="D103" s="447" t="s">
        <v>237</v>
      </c>
      <c r="E103" s="422"/>
      <c r="F103" s="876"/>
      <c r="G103" s="877"/>
      <c r="H103" s="878"/>
      <c r="I103" s="844"/>
    </row>
    <row r="104" spans="1:1026" ht="40.5" customHeight="1" outlineLevel="1">
      <c r="A104" s="844"/>
      <c r="B104" s="891" t="s">
        <v>238</v>
      </c>
      <c r="C104" s="879" t="s">
        <v>239</v>
      </c>
      <c r="D104" s="443" t="s">
        <v>240</v>
      </c>
      <c r="E104" s="444" t="s">
        <v>27</v>
      </c>
      <c r="F104" s="881">
        <f>'INFRA E SUPER'!K74</f>
        <v>578.53</v>
      </c>
      <c r="G104" s="893">
        <f>K104</f>
        <v>23.19</v>
      </c>
      <c r="H104" s="883">
        <f>F104*G104</f>
        <v>13416.110699999999</v>
      </c>
      <c r="I104" s="844"/>
      <c r="J104" s="841">
        <v>18.32</v>
      </c>
      <c r="K104" s="842">
        <f t="shared" si="8"/>
        <v>23.19</v>
      </c>
    </row>
    <row r="105" spans="1:1026" ht="39.75" customHeight="1" outlineLevel="1">
      <c r="A105" s="844"/>
      <c r="B105" s="891" t="s">
        <v>241</v>
      </c>
      <c r="C105" s="879" t="s">
        <v>242</v>
      </c>
      <c r="D105" s="443" t="s">
        <v>243</v>
      </c>
      <c r="E105" s="444" t="s">
        <v>27</v>
      </c>
      <c r="F105" s="881">
        <f>'Impermeab. Áreas Molhadas'!K54</f>
        <v>234.97</v>
      </c>
      <c r="G105" s="893">
        <f>K105</f>
        <v>109.04</v>
      </c>
      <c r="H105" s="883">
        <f>F105*G105</f>
        <v>25621.128800000002</v>
      </c>
      <c r="I105" s="844"/>
      <c r="J105" s="841">
        <v>86.12</v>
      </c>
      <c r="K105" s="842">
        <f t="shared" si="8"/>
        <v>109.04</v>
      </c>
    </row>
    <row r="106" spans="1:1026" s="388" customFormat="1" ht="24.95" customHeight="1" outlineLevel="1">
      <c r="A106" s="885"/>
      <c r="B106" s="923" t="s">
        <v>244</v>
      </c>
      <c r="C106" s="886" t="s">
        <v>245</v>
      </c>
      <c r="D106" s="451" t="s">
        <v>246</v>
      </c>
      <c r="E106" s="449" t="s">
        <v>27</v>
      </c>
      <c r="F106" s="887">
        <f>'Impermeab. Áreas Molhadas'!J60</f>
        <v>575.42999999999995</v>
      </c>
      <c r="G106" s="925">
        <f>K106</f>
        <v>28.5</v>
      </c>
      <c r="H106" s="889">
        <f>F106*G106</f>
        <v>16399.754999999997</v>
      </c>
      <c r="I106" s="885"/>
      <c r="J106" s="915">
        <v>22.51</v>
      </c>
      <c r="K106" s="916">
        <f t="shared" si="8"/>
        <v>28.5</v>
      </c>
      <c r="L106" s="832"/>
      <c r="M106" s="832"/>
      <c r="N106" s="832"/>
      <c r="O106" s="832"/>
      <c r="P106" s="832"/>
      <c r="Q106" s="832"/>
      <c r="R106" s="832"/>
      <c r="S106" s="832"/>
      <c r="T106" s="832"/>
      <c r="U106" s="832"/>
      <c r="V106" s="832"/>
      <c r="W106" s="832"/>
      <c r="X106" s="832"/>
      <c r="Y106" s="832"/>
      <c r="Z106" s="832"/>
      <c r="AA106" s="832"/>
      <c r="AB106" s="832"/>
      <c r="AC106" s="832"/>
      <c r="AD106" s="832"/>
      <c r="AE106" s="832"/>
      <c r="AF106" s="832"/>
      <c r="AG106" s="832"/>
      <c r="AH106" s="832"/>
      <c r="AI106" s="832"/>
      <c r="AJ106" s="832"/>
      <c r="AK106" s="832"/>
      <c r="AL106" s="832"/>
      <c r="AM106" s="832"/>
      <c r="AN106" s="832"/>
      <c r="AO106" s="832"/>
      <c r="AP106" s="832"/>
      <c r="AQ106" s="832"/>
      <c r="AR106" s="832"/>
      <c r="AS106" s="832"/>
      <c r="AT106" s="832"/>
      <c r="AU106" s="832"/>
      <c r="AV106" s="832"/>
      <c r="AW106" s="832"/>
      <c r="AX106" s="832"/>
      <c r="AY106" s="832"/>
      <c r="AZ106" s="832"/>
      <c r="BA106" s="832"/>
      <c r="BB106" s="832"/>
      <c r="BC106" s="832"/>
      <c r="BD106" s="832"/>
      <c r="BE106" s="832"/>
      <c r="BF106" s="832"/>
      <c r="BG106" s="832"/>
      <c r="BH106" s="832"/>
      <c r="BI106" s="832"/>
      <c r="BJ106" s="832"/>
      <c r="BK106" s="832"/>
      <c r="BL106" s="832"/>
      <c r="BM106" s="832"/>
      <c r="BN106" s="832"/>
      <c r="BO106" s="832"/>
      <c r="BP106" s="832"/>
      <c r="BQ106" s="832"/>
      <c r="BR106" s="832"/>
      <c r="BS106" s="832"/>
      <c r="BT106" s="832"/>
      <c r="BU106" s="832"/>
      <c r="BV106" s="832"/>
      <c r="BW106" s="832"/>
      <c r="BX106" s="832"/>
      <c r="BY106" s="832"/>
      <c r="BZ106" s="832"/>
      <c r="CA106" s="832"/>
      <c r="CB106" s="832"/>
      <c r="CC106" s="832"/>
      <c r="CD106" s="832"/>
      <c r="CE106" s="832"/>
      <c r="CF106" s="832"/>
      <c r="CG106" s="832"/>
      <c r="CH106" s="832"/>
      <c r="CI106" s="832"/>
      <c r="CJ106" s="832"/>
      <c r="CK106" s="832"/>
      <c r="CL106" s="832"/>
      <c r="CM106" s="832"/>
      <c r="CN106" s="832"/>
      <c r="CO106" s="832"/>
      <c r="CP106" s="832"/>
      <c r="CQ106" s="832"/>
      <c r="CR106" s="832"/>
      <c r="CS106" s="832"/>
      <c r="CT106" s="832"/>
      <c r="CU106" s="832"/>
      <c r="CV106" s="832"/>
      <c r="CW106" s="832"/>
      <c r="CX106" s="832"/>
      <c r="CY106" s="832"/>
      <c r="CZ106" s="832"/>
      <c r="DA106" s="832"/>
      <c r="DB106" s="832"/>
      <c r="DC106" s="832"/>
      <c r="DD106" s="832"/>
      <c r="DE106" s="832"/>
      <c r="DF106" s="832"/>
      <c r="DG106" s="832"/>
      <c r="DH106" s="832"/>
      <c r="DI106" s="832"/>
      <c r="DJ106" s="832"/>
      <c r="DK106" s="832"/>
      <c r="DL106" s="832"/>
      <c r="DM106" s="832"/>
      <c r="DN106" s="832"/>
      <c r="DO106" s="832"/>
      <c r="DP106" s="832"/>
      <c r="DQ106" s="832"/>
      <c r="DR106" s="832"/>
      <c r="DS106" s="832"/>
      <c r="DT106" s="832"/>
      <c r="DU106" s="832"/>
      <c r="DV106" s="832"/>
      <c r="DW106" s="832"/>
      <c r="DX106" s="832"/>
      <c r="DY106" s="832"/>
      <c r="DZ106" s="832"/>
      <c r="EA106" s="832"/>
      <c r="EB106" s="832"/>
      <c r="EC106" s="832"/>
      <c r="ED106" s="832"/>
      <c r="EE106" s="832"/>
      <c r="EF106" s="832"/>
      <c r="EG106" s="832"/>
      <c r="EH106" s="832"/>
      <c r="EI106" s="832"/>
      <c r="EJ106" s="832"/>
      <c r="EK106" s="832"/>
      <c r="EL106" s="832"/>
      <c r="EM106" s="832"/>
      <c r="EN106" s="832"/>
      <c r="EO106" s="832"/>
      <c r="EP106" s="832"/>
      <c r="EQ106" s="832"/>
      <c r="ER106" s="832"/>
      <c r="ES106" s="832"/>
      <c r="ET106" s="832"/>
      <c r="EU106" s="832"/>
      <c r="EV106" s="832"/>
      <c r="EW106" s="832"/>
      <c r="EX106" s="832"/>
      <c r="EY106" s="832"/>
      <c r="EZ106" s="832"/>
      <c r="FA106" s="832"/>
      <c r="FB106" s="832"/>
      <c r="FC106" s="832"/>
      <c r="FD106" s="832"/>
      <c r="FE106" s="832"/>
      <c r="FF106" s="832"/>
      <c r="FG106" s="832"/>
      <c r="FH106" s="832"/>
      <c r="FI106" s="832"/>
      <c r="FJ106" s="832"/>
      <c r="FK106" s="832"/>
      <c r="FL106" s="832"/>
      <c r="FM106" s="832"/>
      <c r="FN106" s="832"/>
      <c r="FO106" s="832"/>
      <c r="FP106" s="832"/>
      <c r="FQ106" s="832"/>
      <c r="FR106" s="832"/>
      <c r="FS106" s="832"/>
      <c r="FT106" s="832"/>
      <c r="FU106" s="832"/>
      <c r="FV106" s="832"/>
      <c r="FW106" s="832"/>
      <c r="FX106" s="832"/>
      <c r="FY106" s="832"/>
      <c r="FZ106" s="832"/>
      <c r="GA106" s="832"/>
      <c r="GB106" s="832"/>
      <c r="GC106" s="832"/>
      <c r="GD106" s="832"/>
      <c r="GE106" s="832"/>
      <c r="GF106" s="832"/>
      <c r="GG106" s="832"/>
      <c r="GH106" s="832"/>
      <c r="GI106" s="832"/>
      <c r="GJ106" s="832"/>
      <c r="GK106" s="832"/>
      <c r="GL106" s="832"/>
      <c r="GM106" s="832"/>
      <c r="GN106" s="832"/>
      <c r="GO106" s="832"/>
      <c r="GP106" s="832"/>
      <c r="GQ106" s="832"/>
      <c r="GR106" s="832"/>
      <c r="GS106" s="832"/>
      <c r="GT106" s="832"/>
      <c r="GU106" s="832"/>
      <c r="GV106" s="832"/>
      <c r="GW106" s="832"/>
      <c r="GX106" s="832"/>
      <c r="GY106" s="832"/>
      <c r="GZ106" s="832"/>
      <c r="HA106" s="832"/>
      <c r="HB106" s="832"/>
      <c r="HC106" s="832"/>
      <c r="HD106" s="832"/>
      <c r="HE106" s="832"/>
      <c r="HF106" s="832"/>
      <c r="HG106" s="832"/>
      <c r="HH106" s="832"/>
      <c r="HI106" s="832"/>
      <c r="HJ106" s="832"/>
      <c r="HK106" s="832"/>
      <c r="HL106" s="832"/>
      <c r="HM106" s="832"/>
      <c r="HN106" s="832"/>
      <c r="HO106" s="832"/>
      <c r="HP106" s="832"/>
      <c r="HQ106" s="832"/>
      <c r="HR106" s="832"/>
      <c r="HS106" s="832"/>
      <c r="HT106" s="832"/>
      <c r="HU106" s="832"/>
      <c r="HV106" s="832"/>
      <c r="HW106" s="832"/>
      <c r="HX106" s="832"/>
      <c r="HY106" s="832"/>
      <c r="HZ106" s="832"/>
      <c r="IA106" s="832"/>
      <c r="IB106" s="832"/>
      <c r="IC106" s="832"/>
      <c r="ID106" s="832"/>
      <c r="IE106" s="832"/>
      <c r="IF106" s="832"/>
      <c r="IG106" s="832"/>
      <c r="IH106" s="832"/>
      <c r="II106" s="832"/>
      <c r="IJ106" s="832"/>
      <c r="IK106" s="832"/>
      <c r="IL106" s="832"/>
      <c r="IM106" s="832"/>
      <c r="IN106" s="832"/>
      <c r="IO106" s="832"/>
      <c r="IP106" s="832"/>
      <c r="IQ106" s="832"/>
      <c r="IR106" s="832"/>
      <c r="IS106" s="832"/>
      <c r="IT106" s="832"/>
      <c r="IU106" s="832"/>
      <c r="IV106" s="832"/>
      <c r="IW106" s="832"/>
      <c r="IX106" s="832"/>
      <c r="IY106" s="832"/>
      <c r="IZ106" s="832"/>
      <c r="JA106" s="832"/>
      <c r="JB106" s="832"/>
      <c r="JC106" s="832"/>
      <c r="JD106" s="832"/>
      <c r="JE106" s="832"/>
      <c r="JF106" s="832"/>
      <c r="JG106" s="832"/>
      <c r="JH106" s="832"/>
      <c r="JI106" s="832"/>
      <c r="JJ106" s="832"/>
      <c r="JK106" s="832"/>
      <c r="JL106" s="832"/>
      <c r="JM106" s="832"/>
      <c r="JN106" s="832"/>
      <c r="JO106" s="832"/>
      <c r="JP106" s="832"/>
      <c r="JQ106" s="832"/>
      <c r="JR106" s="832"/>
      <c r="JS106" s="832"/>
      <c r="JT106" s="832"/>
      <c r="JU106" s="832"/>
      <c r="JV106" s="832"/>
      <c r="JW106" s="832"/>
      <c r="JX106" s="832"/>
      <c r="JY106" s="832"/>
      <c r="JZ106" s="832"/>
      <c r="KA106" s="832"/>
      <c r="KB106" s="832"/>
      <c r="KC106" s="832"/>
      <c r="KD106" s="832"/>
      <c r="KE106" s="832"/>
      <c r="KF106" s="832"/>
      <c r="KG106" s="832"/>
      <c r="KH106" s="832"/>
      <c r="KI106" s="832"/>
      <c r="KJ106" s="832"/>
      <c r="KK106" s="832"/>
      <c r="KL106" s="832"/>
      <c r="KM106" s="832"/>
      <c r="KN106" s="832"/>
      <c r="KO106" s="832"/>
      <c r="KP106" s="832"/>
      <c r="KQ106" s="832"/>
      <c r="KR106" s="832"/>
      <c r="KS106" s="832"/>
      <c r="KT106" s="832"/>
      <c r="KU106" s="832"/>
      <c r="KV106" s="832"/>
      <c r="KW106" s="832"/>
      <c r="KX106" s="832"/>
      <c r="KY106" s="832"/>
      <c r="KZ106" s="832"/>
      <c r="LA106" s="832"/>
      <c r="LB106" s="832"/>
      <c r="LC106" s="832"/>
      <c r="LD106" s="832"/>
      <c r="LE106" s="832"/>
      <c r="LF106" s="832"/>
      <c r="LG106" s="832"/>
      <c r="LH106" s="832"/>
      <c r="LI106" s="832"/>
      <c r="LJ106" s="832"/>
      <c r="LK106" s="832"/>
      <c r="LL106" s="832"/>
      <c r="LM106" s="832"/>
      <c r="LN106" s="832"/>
      <c r="LO106" s="832"/>
      <c r="LP106" s="832"/>
      <c r="LQ106" s="832"/>
      <c r="LR106" s="832"/>
      <c r="LS106" s="832"/>
      <c r="LT106" s="832"/>
      <c r="LU106" s="832"/>
      <c r="LV106" s="832"/>
      <c r="LW106" s="832"/>
      <c r="LX106" s="832"/>
      <c r="LY106" s="832"/>
      <c r="LZ106" s="832"/>
      <c r="MA106" s="832"/>
      <c r="MB106" s="832"/>
      <c r="MC106" s="832"/>
      <c r="MD106" s="832"/>
      <c r="ME106" s="832"/>
      <c r="MF106" s="832"/>
      <c r="MG106" s="832"/>
      <c r="MH106" s="832"/>
      <c r="MI106" s="832"/>
      <c r="MJ106" s="832"/>
      <c r="MK106" s="832"/>
      <c r="ML106" s="832"/>
      <c r="MM106" s="832"/>
      <c r="MN106" s="832"/>
      <c r="MO106" s="832"/>
      <c r="MP106" s="832"/>
      <c r="MQ106" s="832"/>
      <c r="MR106" s="832"/>
      <c r="MS106" s="832"/>
      <c r="MT106" s="832"/>
      <c r="MU106" s="832"/>
      <c r="MV106" s="832"/>
      <c r="MW106" s="832"/>
      <c r="MX106" s="832"/>
      <c r="MY106" s="832"/>
      <c r="MZ106" s="832"/>
      <c r="NA106" s="832"/>
      <c r="NB106" s="832"/>
      <c r="NC106" s="832"/>
      <c r="ND106" s="832"/>
      <c r="NE106" s="832"/>
      <c r="NF106" s="832"/>
      <c r="NG106" s="832"/>
      <c r="NH106" s="832"/>
      <c r="NI106" s="832"/>
      <c r="NJ106" s="832"/>
      <c r="NK106" s="832"/>
      <c r="NL106" s="832"/>
      <c r="NM106" s="832"/>
      <c r="NN106" s="832"/>
      <c r="NO106" s="832"/>
      <c r="NP106" s="832"/>
      <c r="NQ106" s="832"/>
      <c r="NR106" s="832"/>
      <c r="NS106" s="832"/>
      <c r="NT106" s="832"/>
      <c r="NU106" s="832"/>
      <c r="NV106" s="832"/>
      <c r="NW106" s="832"/>
      <c r="NX106" s="832"/>
      <c r="NY106" s="832"/>
      <c r="NZ106" s="832"/>
      <c r="OA106" s="832"/>
      <c r="OB106" s="832"/>
      <c r="OC106" s="832"/>
      <c r="OD106" s="832"/>
      <c r="OE106" s="832"/>
      <c r="OF106" s="832"/>
      <c r="OG106" s="832"/>
      <c r="OH106" s="832"/>
      <c r="OI106" s="832"/>
      <c r="OJ106" s="832"/>
      <c r="OK106" s="832"/>
      <c r="OL106" s="832"/>
      <c r="OM106" s="832"/>
      <c r="ON106" s="832"/>
      <c r="OO106" s="832"/>
      <c r="OP106" s="832"/>
      <c r="OQ106" s="832"/>
      <c r="OR106" s="832"/>
      <c r="OS106" s="832"/>
      <c r="OT106" s="832"/>
      <c r="OU106" s="832"/>
      <c r="OV106" s="832"/>
      <c r="OW106" s="832"/>
      <c r="OX106" s="832"/>
      <c r="OY106" s="832"/>
      <c r="OZ106" s="832"/>
      <c r="PA106" s="832"/>
      <c r="PB106" s="832"/>
      <c r="PC106" s="832"/>
      <c r="PD106" s="832"/>
      <c r="PE106" s="832"/>
      <c r="PF106" s="832"/>
      <c r="PG106" s="832"/>
      <c r="PH106" s="832"/>
      <c r="PI106" s="832"/>
      <c r="PJ106" s="832"/>
      <c r="PK106" s="832"/>
      <c r="PL106" s="832"/>
      <c r="PM106" s="832"/>
      <c r="PN106" s="832"/>
      <c r="PO106" s="832"/>
      <c r="PP106" s="832"/>
      <c r="PQ106" s="832"/>
      <c r="PR106" s="832"/>
      <c r="PS106" s="832"/>
      <c r="PT106" s="832"/>
      <c r="PU106" s="832"/>
      <c r="PV106" s="832"/>
      <c r="PW106" s="832"/>
      <c r="PX106" s="832"/>
      <c r="PY106" s="832"/>
      <c r="PZ106" s="832"/>
      <c r="QA106" s="832"/>
      <c r="QB106" s="832"/>
      <c r="QC106" s="832"/>
      <c r="QD106" s="832"/>
      <c r="QE106" s="832"/>
      <c r="QF106" s="832"/>
      <c r="QG106" s="832"/>
      <c r="QH106" s="832"/>
      <c r="QI106" s="832"/>
      <c r="QJ106" s="832"/>
      <c r="QK106" s="832"/>
      <c r="QL106" s="832"/>
      <c r="QM106" s="832"/>
      <c r="QN106" s="832"/>
      <c r="QO106" s="832"/>
      <c r="QP106" s="832"/>
      <c r="QQ106" s="832"/>
      <c r="QR106" s="832"/>
      <c r="QS106" s="832"/>
      <c r="QT106" s="832"/>
      <c r="QU106" s="832"/>
      <c r="QV106" s="832"/>
      <c r="QW106" s="832"/>
      <c r="QX106" s="832"/>
      <c r="QY106" s="832"/>
      <c r="QZ106" s="832"/>
      <c r="RA106" s="832"/>
      <c r="RB106" s="832"/>
      <c r="RC106" s="832"/>
      <c r="RD106" s="832"/>
      <c r="RE106" s="832"/>
      <c r="RF106" s="832"/>
      <c r="RG106" s="832"/>
      <c r="RH106" s="832"/>
      <c r="RI106" s="832"/>
      <c r="RJ106" s="832"/>
      <c r="RK106" s="832"/>
      <c r="RL106" s="832"/>
      <c r="RM106" s="832"/>
      <c r="RN106" s="832"/>
      <c r="RO106" s="832"/>
      <c r="RP106" s="832"/>
      <c r="RQ106" s="832"/>
      <c r="RR106" s="832"/>
      <c r="RS106" s="832"/>
      <c r="RT106" s="832"/>
      <c r="RU106" s="832"/>
      <c r="RV106" s="832"/>
      <c r="RW106" s="832"/>
      <c r="RX106" s="832"/>
      <c r="RY106" s="832"/>
      <c r="RZ106" s="832"/>
      <c r="SA106" s="832"/>
      <c r="SB106" s="832"/>
      <c r="SC106" s="832"/>
      <c r="SD106" s="832"/>
      <c r="SE106" s="832"/>
      <c r="SF106" s="832"/>
      <c r="SG106" s="832"/>
      <c r="SH106" s="832"/>
      <c r="SI106" s="832"/>
      <c r="SJ106" s="832"/>
      <c r="SK106" s="832"/>
      <c r="SL106" s="832"/>
      <c r="SM106" s="832"/>
      <c r="SN106" s="832"/>
      <c r="SO106" s="832"/>
      <c r="SP106" s="832"/>
      <c r="SQ106" s="832"/>
      <c r="SR106" s="832"/>
      <c r="SS106" s="832"/>
      <c r="ST106" s="832"/>
      <c r="SU106" s="832"/>
      <c r="SV106" s="832"/>
      <c r="SW106" s="832"/>
      <c r="SX106" s="832"/>
      <c r="SY106" s="832"/>
      <c r="SZ106" s="832"/>
      <c r="TA106" s="832"/>
      <c r="TB106" s="832"/>
      <c r="TC106" s="832"/>
      <c r="TD106" s="832"/>
      <c r="TE106" s="832"/>
      <c r="TF106" s="832"/>
      <c r="TG106" s="832"/>
      <c r="TH106" s="832"/>
      <c r="TI106" s="832"/>
      <c r="TJ106" s="832"/>
      <c r="TK106" s="832"/>
      <c r="TL106" s="832"/>
      <c r="TM106" s="832"/>
      <c r="TN106" s="832"/>
      <c r="TO106" s="832"/>
      <c r="TP106" s="832"/>
      <c r="TQ106" s="832"/>
      <c r="TR106" s="832"/>
      <c r="TS106" s="832"/>
      <c r="TT106" s="832"/>
      <c r="TU106" s="832"/>
      <c r="TV106" s="832"/>
      <c r="TW106" s="832"/>
      <c r="TX106" s="832"/>
      <c r="TY106" s="832"/>
      <c r="TZ106" s="832"/>
      <c r="UA106" s="832"/>
      <c r="UB106" s="832"/>
      <c r="UC106" s="832"/>
      <c r="UD106" s="832"/>
      <c r="UE106" s="832"/>
      <c r="UF106" s="832"/>
      <c r="UG106" s="832"/>
      <c r="UH106" s="832"/>
      <c r="UI106" s="832"/>
      <c r="UJ106" s="832"/>
      <c r="UK106" s="832"/>
      <c r="UL106" s="832"/>
      <c r="UM106" s="832"/>
      <c r="UN106" s="832"/>
      <c r="UO106" s="832"/>
      <c r="UP106" s="832"/>
      <c r="UQ106" s="832"/>
      <c r="UR106" s="832"/>
      <c r="US106" s="832"/>
      <c r="UT106" s="832"/>
      <c r="UU106" s="832"/>
      <c r="UV106" s="832"/>
      <c r="UW106" s="832"/>
      <c r="UX106" s="832"/>
      <c r="UY106" s="832"/>
      <c r="UZ106" s="832"/>
      <c r="VA106" s="832"/>
      <c r="VB106" s="832"/>
      <c r="VC106" s="832"/>
      <c r="VD106" s="832"/>
      <c r="VE106" s="832"/>
      <c r="VF106" s="832"/>
      <c r="VG106" s="832"/>
      <c r="VH106" s="832"/>
      <c r="VI106" s="832"/>
      <c r="VJ106" s="832"/>
      <c r="VK106" s="832"/>
      <c r="VL106" s="832"/>
      <c r="VM106" s="832"/>
      <c r="VN106" s="832"/>
      <c r="VO106" s="832"/>
      <c r="VP106" s="832"/>
      <c r="VQ106" s="832"/>
      <c r="VR106" s="832"/>
      <c r="VS106" s="832"/>
      <c r="VT106" s="832"/>
      <c r="VU106" s="832"/>
      <c r="VV106" s="832"/>
      <c r="VW106" s="832"/>
      <c r="VX106" s="832"/>
      <c r="VY106" s="832"/>
      <c r="VZ106" s="832"/>
      <c r="WA106" s="832"/>
      <c r="WB106" s="832"/>
      <c r="WC106" s="832"/>
      <c r="WD106" s="832"/>
      <c r="WE106" s="832"/>
      <c r="WF106" s="832"/>
      <c r="WG106" s="832"/>
      <c r="WH106" s="832"/>
      <c r="WI106" s="832"/>
      <c r="WJ106" s="832"/>
      <c r="WK106" s="832"/>
      <c r="WL106" s="832"/>
      <c r="WM106" s="832"/>
      <c r="WN106" s="832"/>
      <c r="WO106" s="832"/>
      <c r="WP106" s="832"/>
      <c r="WQ106" s="832"/>
      <c r="WR106" s="832"/>
      <c r="WS106" s="832"/>
      <c r="WT106" s="832"/>
      <c r="WU106" s="832"/>
      <c r="WV106" s="832"/>
      <c r="WW106" s="832"/>
      <c r="WX106" s="832"/>
      <c r="WY106" s="832"/>
      <c r="WZ106" s="832"/>
      <c r="XA106" s="832"/>
      <c r="XB106" s="832"/>
      <c r="XC106" s="832"/>
      <c r="XD106" s="832"/>
      <c r="XE106" s="832"/>
      <c r="XF106" s="832"/>
      <c r="XG106" s="832"/>
      <c r="XH106" s="832"/>
      <c r="XI106" s="832"/>
      <c r="XJ106" s="832"/>
      <c r="XK106" s="832"/>
      <c r="XL106" s="832"/>
      <c r="XM106" s="832"/>
      <c r="XN106" s="832"/>
      <c r="XO106" s="832"/>
      <c r="XP106" s="832"/>
      <c r="XQ106" s="832"/>
      <c r="XR106" s="832"/>
      <c r="XS106" s="832"/>
      <c r="XT106" s="832"/>
      <c r="XU106" s="832"/>
      <c r="XV106" s="832"/>
      <c r="XW106" s="832"/>
      <c r="XX106" s="832"/>
      <c r="XY106" s="832"/>
      <c r="XZ106" s="832"/>
      <c r="YA106" s="832"/>
      <c r="YB106" s="832"/>
      <c r="YC106" s="832"/>
      <c r="YD106" s="832"/>
      <c r="YE106" s="832"/>
      <c r="YF106" s="832"/>
      <c r="YG106" s="832"/>
      <c r="YH106" s="832"/>
      <c r="YI106" s="832"/>
      <c r="YJ106" s="832"/>
      <c r="YK106" s="832"/>
      <c r="YL106" s="832"/>
      <c r="YM106" s="832"/>
      <c r="YN106" s="832"/>
      <c r="YO106" s="832"/>
      <c r="YP106" s="832"/>
      <c r="YQ106" s="832"/>
      <c r="YR106" s="832"/>
      <c r="YS106" s="832"/>
      <c r="YT106" s="832"/>
      <c r="YU106" s="832"/>
      <c r="YV106" s="832"/>
      <c r="YW106" s="832"/>
      <c r="YX106" s="832"/>
      <c r="YY106" s="832"/>
      <c r="YZ106" s="832"/>
      <c r="ZA106" s="832"/>
      <c r="ZB106" s="832"/>
      <c r="ZC106" s="832"/>
      <c r="ZD106" s="832"/>
      <c r="ZE106" s="832"/>
      <c r="ZF106" s="832"/>
      <c r="ZG106" s="832"/>
      <c r="ZH106" s="832"/>
      <c r="ZI106" s="832"/>
      <c r="ZJ106" s="832"/>
      <c r="ZK106" s="832"/>
      <c r="ZL106" s="832"/>
      <c r="ZM106" s="832"/>
      <c r="ZN106" s="832"/>
      <c r="ZO106" s="832"/>
      <c r="ZP106" s="832"/>
      <c r="ZQ106" s="832"/>
      <c r="ZR106" s="832"/>
      <c r="ZS106" s="832"/>
      <c r="ZT106" s="832"/>
      <c r="ZU106" s="832"/>
      <c r="ZV106" s="832"/>
      <c r="ZW106" s="832"/>
      <c r="ZX106" s="832"/>
      <c r="ZY106" s="832"/>
      <c r="ZZ106" s="832"/>
      <c r="AAA106" s="832"/>
      <c r="AAB106" s="832"/>
      <c r="AAC106" s="832"/>
      <c r="AAD106" s="832"/>
      <c r="AAE106" s="832"/>
      <c r="AAF106" s="832"/>
      <c r="AAG106" s="832"/>
      <c r="AAH106" s="832"/>
      <c r="AAI106" s="832"/>
      <c r="AAJ106" s="832"/>
      <c r="AAK106" s="832"/>
      <c r="AAL106" s="832"/>
      <c r="AAM106" s="832"/>
      <c r="AAN106" s="832"/>
      <c r="AAO106" s="832"/>
      <c r="AAP106" s="832"/>
      <c r="AAQ106" s="832"/>
      <c r="AAR106" s="832"/>
      <c r="AAS106" s="832"/>
      <c r="AAT106" s="832"/>
      <c r="AAU106" s="832"/>
      <c r="AAV106" s="832"/>
      <c r="AAW106" s="832"/>
      <c r="AAX106" s="832"/>
      <c r="AAY106" s="832"/>
      <c r="AAZ106" s="832"/>
      <c r="ABA106" s="832"/>
      <c r="ABB106" s="832"/>
      <c r="ABC106" s="832"/>
      <c r="ABD106" s="832"/>
      <c r="ABE106" s="832"/>
      <c r="ABF106" s="832"/>
      <c r="ABG106" s="832"/>
      <c r="ABH106" s="832"/>
      <c r="ABI106" s="832"/>
      <c r="ABJ106" s="832"/>
      <c r="ABK106" s="832"/>
      <c r="ABL106" s="832"/>
      <c r="ABM106" s="832"/>
      <c r="ABN106" s="832"/>
      <c r="ABO106" s="832"/>
      <c r="ABP106" s="832"/>
      <c r="ABQ106" s="832"/>
      <c r="ABR106" s="832"/>
      <c r="ABS106" s="832"/>
      <c r="ABT106" s="832"/>
      <c r="ABU106" s="832"/>
      <c r="ABV106" s="832"/>
      <c r="ABW106" s="832"/>
      <c r="ABX106" s="832"/>
      <c r="ABY106" s="832"/>
      <c r="ABZ106" s="832"/>
      <c r="ACA106" s="832"/>
      <c r="ACB106" s="832"/>
      <c r="ACC106" s="832"/>
      <c r="ACD106" s="832"/>
      <c r="ACE106" s="832"/>
      <c r="ACF106" s="832"/>
      <c r="ACG106" s="832"/>
      <c r="ACH106" s="832"/>
      <c r="ACI106" s="832"/>
      <c r="ACJ106" s="832"/>
      <c r="ACK106" s="832"/>
      <c r="ACL106" s="832"/>
      <c r="ACM106" s="832"/>
      <c r="ACN106" s="832"/>
      <c r="ACO106" s="832"/>
      <c r="ACP106" s="832"/>
      <c r="ACQ106" s="832"/>
      <c r="ACR106" s="832"/>
      <c r="ACS106" s="832"/>
      <c r="ACT106" s="832"/>
      <c r="ACU106" s="832"/>
      <c r="ACV106" s="832"/>
      <c r="ACW106" s="832"/>
      <c r="ACX106" s="832"/>
      <c r="ACY106" s="832"/>
      <c r="ACZ106" s="832"/>
      <c r="ADA106" s="832"/>
      <c r="ADB106" s="832"/>
      <c r="ADC106" s="832"/>
      <c r="ADD106" s="832"/>
      <c r="ADE106" s="832"/>
      <c r="ADF106" s="832"/>
      <c r="ADG106" s="832"/>
      <c r="ADH106" s="832"/>
      <c r="ADI106" s="832"/>
      <c r="ADJ106" s="832"/>
      <c r="ADK106" s="832"/>
      <c r="ADL106" s="832"/>
      <c r="ADM106" s="832"/>
      <c r="ADN106" s="832"/>
      <c r="ADO106" s="832"/>
      <c r="ADP106" s="832"/>
      <c r="ADQ106" s="832"/>
      <c r="ADR106" s="832"/>
      <c r="ADS106" s="832"/>
      <c r="ADT106" s="832"/>
      <c r="ADU106" s="832"/>
      <c r="ADV106" s="832"/>
      <c r="ADW106" s="832"/>
      <c r="ADX106" s="832"/>
      <c r="ADY106" s="832"/>
      <c r="ADZ106" s="832"/>
      <c r="AEA106" s="832"/>
      <c r="AEB106" s="832"/>
      <c r="AEC106" s="832"/>
      <c r="AED106" s="832"/>
      <c r="AEE106" s="832"/>
      <c r="AEF106" s="832"/>
      <c r="AEG106" s="832"/>
      <c r="AEH106" s="832"/>
      <c r="AEI106" s="832"/>
      <c r="AEJ106" s="832"/>
      <c r="AEK106" s="832"/>
      <c r="AEL106" s="832"/>
      <c r="AEM106" s="832"/>
      <c r="AEN106" s="832"/>
      <c r="AEO106" s="832"/>
      <c r="AEP106" s="832"/>
      <c r="AEQ106" s="832"/>
      <c r="AER106" s="832"/>
      <c r="AES106" s="832"/>
      <c r="AET106" s="832"/>
      <c r="AEU106" s="832"/>
      <c r="AEV106" s="832"/>
      <c r="AEW106" s="832"/>
      <c r="AEX106" s="832"/>
      <c r="AEY106" s="832"/>
      <c r="AEZ106" s="832"/>
      <c r="AFA106" s="832"/>
      <c r="AFB106" s="832"/>
      <c r="AFC106" s="832"/>
      <c r="AFD106" s="832"/>
      <c r="AFE106" s="832"/>
      <c r="AFF106" s="832"/>
      <c r="AFG106" s="832"/>
      <c r="AFH106" s="832"/>
      <c r="AFI106" s="832"/>
      <c r="AFJ106" s="832"/>
      <c r="AFK106" s="832"/>
      <c r="AFL106" s="832"/>
      <c r="AFM106" s="832"/>
      <c r="AFN106" s="832"/>
      <c r="AFO106" s="832"/>
      <c r="AFP106" s="832"/>
      <c r="AFQ106" s="832"/>
      <c r="AFR106" s="832"/>
      <c r="AFS106" s="832"/>
      <c r="AFT106" s="832"/>
      <c r="AFU106" s="832"/>
      <c r="AFV106" s="832"/>
      <c r="AFW106" s="832"/>
      <c r="AFX106" s="832"/>
      <c r="AFY106" s="832"/>
      <c r="AFZ106" s="832"/>
      <c r="AGA106" s="832"/>
      <c r="AGB106" s="832"/>
      <c r="AGC106" s="832"/>
      <c r="AGD106" s="832"/>
      <c r="AGE106" s="832"/>
      <c r="AGF106" s="832"/>
      <c r="AGG106" s="832"/>
      <c r="AGH106" s="832"/>
      <c r="AGI106" s="832"/>
      <c r="AGJ106" s="832"/>
      <c r="AGK106" s="832"/>
      <c r="AGL106" s="832"/>
      <c r="AGM106" s="832"/>
      <c r="AGN106" s="832"/>
      <c r="AGO106" s="832"/>
      <c r="AGP106" s="832"/>
      <c r="AGQ106" s="832"/>
      <c r="AGR106" s="832"/>
      <c r="AGS106" s="832"/>
      <c r="AGT106" s="832"/>
      <c r="AGU106" s="832"/>
      <c r="AGV106" s="832"/>
      <c r="AGW106" s="832"/>
      <c r="AGX106" s="832"/>
      <c r="AGY106" s="832"/>
      <c r="AGZ106" s="832"/>
      <c r="AHA106" s="832"/>
      <c r="AHB106" s="832"/>
      <c r="AHC106" s="832"/>
      <c r="AHD106" s="832"/>
      <c r="AHE106" s="832"/>
      <c r="AHF106" s="832"/>
      <c r="AHG106" s="832"/>
      <c r="AHH106" s="832"/>
      <c r="AHI106" s="832"/>
      <c r="AHJ106" s="832"/>
      <c r="AHK106" s="832"/>
      <c r="AHL106" s="832"/>
      <c r="AHM106" s="832"/>
      <c r="AHN106" s="832"/>
      <c r="AHO106" s="832"/>
      <c r="AHP106" s="832"/>
      <c r="AHQ106" s="832"/>
      <c r="AHR106" s="832"/>
      <c r="AHS106" s="832"/>
      <c r="AHT106" s="832"/>
      <c r="AHU106" s="832"/>
      <c r="AHV106" s="832"/>
      <c r="AHW106" s="832"/>
      <c r="AHX106" s="832"/>
      <c r="AHY106" s="832"/>
      <c r="AHZ106" s="832"/>
      <c r="AIA106" s="832"/>
      <c r="AIB106" s="832"/>
      <c r="AIC106" s="832"/>
      <c r="AID106" s="832"/>
      <c r="AIE106" s="832"/>
      <c r="AIF106" s="832"/>
      <c r="AIG106" s="832"/>
      <c r="AIH106" s="832"/>
      <c r="AII106" s="832"/>
      <c r="AIJ106" s="832"/>
      <c r="AIK106" s="832"/>
      <c r="AIL106" s="832"/>
      <c r="AIM106" s="832"/>
      <c r="AIN106" s="832"/>
      <c r="AIO106" s="832"/>
      <c r="AIP106" s="832"/>
      <c r="AIQ106" s="832"/>
      <c r="AIR106" s="832"/>
      <c r="AIS106" s="832"/>
      <c r="AIT106" s="832"/>
      <c r="AIU106" s="832"/>
      <c r="AIV106" s="832"/>
      <c r="AIW106" s="832"/>
      <c r="AIX106" s="832"/>
      <c r="AIY106" s="832"/>
      <c r="AIZ106" s="832"/>
      <c r="AJA106" s="832"/>
      <c r="AJB106" s="832"/>
      <c r="AJC106" s="832"/>
      <c r="AJD106" s="832"/>
      <c r="AJE106" s="832"/>
      <c r="AJF106" s="832"/>
      <c r="AJG106" s="832"/>
      <c r="AJH106" s="832"/>
      <c r="AJI106" s="832"/>
      <c r="AJJ106" s="832"/>
      <c r="AJK106" s="832"/>
      <c r="AJL106" s="832"/>
      <c r="AJM106" s="832"/>
      <c r="AJN106" s="832"/>
      <c r="AJO106" s="832"/>
      <c r="AJP106" s="832"/>
      <c r="AJQ106" s="832"/>
      <c r="AJR106" s="832"/>
      <c r="AJS106" s="832"/>
      <c r="AJT106" s="832"/>
      <c r="AJU106" s="832"/>
      <c r="AJV106" s="832"/>
      <c r="AJW106" s="832"/>
      <c r="AJX106" s="832"/>
      <c r="AJY106" s="832"/>
      <c r="AJZ106" s="832"/>
      <c r="AKA106" s="832"/>
      <c r="AKB106" s="832"/>
      <c r="AKC106" s="832"/>
      <c r="AKD106" s="832"/>
      <c r="AKE106" s="832"/>
      <c r="AKF106" s="832"/>
      <c r="AKG106" s="832"/>
      <c r="AKH106" s="832"/>
      <c r="AKI106" s="832"/>
      <c r="AKJ106" s="832"/>
      <c r="AKK106" s="832"/>
      <c r="AKL106" s="832"/>
      <c r="AKM106" s="832"/>
      <c r="AKN106" s="832"/>
      <c r="AKO106" s="832"/>
      <c r="AKP106" s="832"/>
      <c r="AKQ106" s="832"/>
      <c r="AKR106" s="832"/>
      <c r="AKS106" s="832"/>
      <c r="AKT106" s="832"/>
      <c r="AKU106" s="832"/>
      <c r="AKV106" s="832"/>
      <c r="AKW106" s="832"/>
      <c r="AKX106" s="832"/>
      <c r="AKY106" s="832"/>
      <c r="AKZ106" s="832"/>
      <c r="ALA106" s="832"/>
      <c r="ALB106" s="832"/>
      <c r="ALC106" s="832"/>
      <c r="ALD106" s="832"/>
      <c r="ALE106" s="832"/>
      <c r="ALF106" s="832"/>
      <c r="ALG106" s="832"/>
      <c r="ALH106" s="832"/>
      <c r="ALI106" s="832"/>
      <c r="ALJ106" s="832"/>
      <c r="ALK106" s="832"/>
      <c r="ALL106" s="832"/>
      <c r="ALM106" s="832"/>
      <c r="ALN106" s="832"/>
      <c r="ALO106" s="832"/>
      <c r="ALP106" s="832"/>
      <c r="ALQ106" s="832"/>
      <c r="ALR106" s="832"/>
      <c r="ALS106" s="832"/>
      <c r="ALT106" s="832"/>
      <c r="ALU106" s="832"/>
      <c r="ALV106" s="832"/>
      <c r="ALW106" s="832"/>
      <c r="ALX106" s="832"/>
      <c r="ALY106" s="832"/>
      <c r="ALZ106" s="832"/>
      <c r="AMA106" s="832"/>
      <c r="AMB106" s="832"/>
      <c r="AMC106" s="832"/>
      <c r="AMD106" s="832"/>
      <c r="AME106" s="832"/>
      <c r="AMF106" s="832"/>
      <c r="AMG106" s="832"/>
      <c r="AMH106" s="832"/>
      <c r="AMI106" s="832"/>
      <c r="AMJ106" s="832"/>
      <c r="AMK106" s="832"/>
      <c r="AML106" s="832"/>
    </row>
    <row r="107" spans="1:1026" ht="24.95" customHeight="1" outlineLevel="1">
      <c r="A107" s="844"/>
      <c r="B107" s="875">
        <v>11</v>
      </c>
      <c r="C107" s="875"/>
      <c r="D107" s="447" t="s">
        <v>247</v>
      </c>
      <c r="E107" s="937"/>
      <c r="F107" s="938"/>
      <c r="G107" s="877"/>
      <c r="H107" s="878"/>
      <c r="I107" s="844"/>
    </row>
    <row r="108" spans="1:1026" ht="24.95" customHeight="1" outlineLevel="1">
      <c r="A108" s="844"/>
      <c r="B108" s="875" t="s">
        <v>248</v>
      </c>
      <c r="C108" s="875"/>
      <c r="D108" s="447" t="s">
        <v>249</v>
      </c>
      <c r="E108" s="937"/>
      <c r="F108" s="938"/>
      <c r="G108" s="877"/>
      <c r="H108" s="878"/>
      <c r="I108" s="844"/>
    </row>
    <row r="109" spans="1:1026" ht="39" customHeight="1" outlineLevel="1">
      <c r="A109" s="844"/>
      <c r="B109" s="891" t="s">
        <v>250</v>
      </c>
      <c r="C109" s="879" t="s">
        <v>251</v>
      </c>
      <c r="D109" s="443" t="s">
        <v>252</v>
      </c>
      <c r="E109" s="444" t="s">
        <v>27</v>
      </c>
      <c r="F109" s="881">
        <f ca="1">'Reboco e gesso '!D94</f>
        <v>1082.2</v>
      </c>
      <c r="G109" s="893">
        <f t="shared" ref="G109:G110" si="10">K109</f>
        <v>43.05</v>
      </c>
      <c r="H109" s="883">
        <f t="shared" ref="H109:H110" ca="1" si="11">F109*G109</f>
        <v>46588.71</v>
      </c>
      <c r="I109" s="844"/>
      <c r="J109" s="841">
        <v>34</v>
      </c>
      <c r="K109" s="842">
        <f t="shared" ref="K109:K110" si="12">ROUND(J109*(1+$H$14),2)</f>
        <v>43.05</v>
      </c>
    </row>
    <row r="110" spans="1:1026" ht="39" customHeight="1" outlineLevel="1">
      <c r="A110" s="844"/>
      <c r="B110" s="891" t="s">
        <v>253</v>
      </c>
      <c r="C110" s="879" t="s">
        <v>254</v>
      </c>
      <c r="D110" s="450" t="s">
        <v>255</v>
      </c>
      <c r="E110" s="444" t="s">
        <v>38</v>
      </c>
      <c r="F110" s="881">
        <f>'Reboco e gesso '!E95</f>
        <v>884.08</v>
      </c>
      <c r="G110" s="893">
        <f t="shared" si="10"/>
        <v>8.86</v>
      </c>
      <c r="H110" s="883">
        <f t="shared" si="11"/>
        <v>7832.9488000000001</v>
      </c>
      <c r="I110" s="844"/>
      <c r="J110" s="841">
        <v>7</v>
      </c>
      <c r="K110" s="842">
        <f t="shared" si="12"/>
        <v>8.86</v>
      </c>
    </row>
    <row r="111" spans="1:1026" ht="24.95" customHeight="1" outlineLevel="1">
      <c r="A111" s="844"/>
      <c r="B111" s="875">
        <v>12</v>
      </c>
      <c r="C111" s="875"/>
      <c r="D111" s="447" t="s">
        <v>256</v>
      </c>
      <c r="E111" s="937"/>
      <c r="F111" s="938"/>
      <c r="G111" s="877"/>
      <c r="H111" s="878"/>
      <c r="I111" s="844"/>
    </row>
    <row r="112" spans="1:1026" ht="24.95" customHeight="1" outlineLevel="1">
      <c r="A112" s="844"/>
      <c r="B112" s="875" t="s">
        <v>257</v>
      </c>
      <c r="C112" s="875"/>
      <c r="D112" s="447" t="s">
        <v>258</v>
      </c>
      <c r="E112" s="937"/>
      <c r="F112" s="938"/>
      <c r="G112" s="877"/>
      <c r="H112" s="878"/>
      <c r="I112" s="844"/>
    </row>
    <row r="113" spans="1:1026" ht="39" customHeight="1" outlineLevel="1">
      <c r="A113" s="844"/>
      <c r="B113" s="891" t="s">
        <v>259</v>
      </c>
      <c r="C113" s="879" t="s">
        <v>260</v>
      </c>
      <c r="D113" s="443" t="s">
        <v>261</v>
      </c>
      <c r="E113" s="444" t="s">
        <v>27</v>
      </c>
      <c r="F113" s="881">
        <f>'Reboco e gesso '!D86</f>
        <v>3964.34</v>
      </c>
      <c r="G113" s="893">
        <f t="shared" ref="G113:G124" si="13">K113</f>
        <v>6.62</v>
      </c>
      <c r="H113" s="883">
        <f t="shared" ref="H113:H124" si="14">F113*G113</f>
        <v>26243.930800000002</v>
      </c>
      <c r="I113" s="844"/>
      <c r="J113" s="841">
        <v>5.23</v>
      </c>
      <c r="K113" s="842">
        <f t="shared" si="8"/>
        <v>6.62</v>
      </c>
    </row>
    <row r="114" spans="1:1026" ht="24.95" customHeight="1" outlineLevel="1">
      <c r="A114" s="844"/>
      <c r="B114" s="875" t="s">
        <v>262</v>
      </c>
      <c r="C114" s="875"/>
      <c r="D114" s="447" t="s">
        <v>263</v>
      </c>
      <c r="E114" s="937"/>
      <c r="F114" s="938"/>
      <c r="G114" s="877"/>
      <c r="H114" s="878"/>
      <c r="I114" s="844"/>
    </row>
    <row r="115" spans="1:1026" ht="54.75" customHeight="1" outlineLevel="1">
      <c r="A115" s="844"/>
      <c r="B115" s="891" t="s">
        <v>264</v>
      </c>
      <c r="C115" s="879" t="s">
        <v>265</v>
      </c>
      <c r="D115" s="443" t="s">
        <v>266</v>
      </c>
      <c r="E115" s="444" t="s">
        <v>27</v>
      </c>
      <c r="F115" s="881">
        <f>'Reboco e gesso '!D89</f>
        <v>888.39</v>
      </c>
      <c r="G115" s="893">
        <f t="shared" ref="G115:G118" si="15">K115</f>
        <v>32.54</v>
      </c>
      <c r="H115" s="883">
        <f t="shared" ref="H115:H118" si="16">F115*G115</f>
        <v>28908.210599999999</v>
      </c>
      <c r="I115" s="844"/>
      <c r="J115" s="841">
        <v>25.7</v>
      </c>
      <c r="K115" s="842">
        <f t="shared" ref="K115:K118" si="17">ROUND(J115*(1+$H$14),2)</f>
        <v>32.54</v>
      </c>
    </row>
    <row r="116" spans="1:1026" ht="54.75" customHeight="1" outlineLevel="1">
      <c r="A116" s="844"/>
      <c r="B116" s="891" t="s">
        <v>267</v>
      </c>
      <c r="C116" s="879" t="s">
        <v>268</v>
      </c>
      <c r="D116" s="443" t="s">
        <v>269</v>
      </c>
      <c r="E116" s="444" t="s">
        <v>27</v>
      </c>
      <c r="F116" s="881">
        <f>'Reboco e gesso '!D87+'Reboco e gesso '!D88</f>
        <v>3075.9399999999996</v>
      </c>
      <c r="G116" s="893">
        <f t="shared" si="15"/>
        <v>23.18</v>
      </c>
      <c r="H116" s="883">
        <f t="shared" si="16"/>
        <v>71300.289199999985</v>
      </c>
      <c r="I116" s="844"/>
      <c r="J116" s="841">
        <v>18.309999999999999</v>
      </c>
      <c r="K116" s="842">
        <f t="shared" si="17"/>
        <v>23.18</v>
      </c>
    </row>
    <row r="117" spans="1:1026" ht="24.95" customHeight="1" outlineLevel="1">
      <c r="A117" s="844"/>
      <c r="B117" s="875" t="s">
        <v>270</v>
      </c>
      <c r="C117" s="875"/>
      <c r="D117" s="447" t="s">
        <v>271</v>
      </c>
      <c r="E117" s="937"/>
      <c r="F117" s="938"/>
      <c r="G117" s="877"/>
      <c r="H117" s="878"/>
      <c r="I117" s="844"/>
    </row>
    <row r="118" spans="1:1026" ht="66.95" customHeight="1" outlineLevel="1">
      <c r="A118" s="844"/>
      <c r="B118" s="891" t="s">
        <v>272</v>
      </c>
      <c r="C118" s="891" t="s">
        <v>273</v>
      </c>
      <c r="D118" s="450" t="s">
        <v>274</v>
      </c>
      <c r="E118" s="444" t="s">
        <v>27</v>
      </c>
      <c r="F118" s="881">
        <f>Acabamentos!H150</f>
        <v>76.16</v>
      </c>
      <c r="G118" s="893">
        <f t="shared" si="15"/>
        <v>65.58</v>
      </c>
      <c r="H118" s="883">
        <f t="shared" si="16"/>
        <v>4994.5727999999999</v>
      </c>
      <c r="I118" s="844"/>
      <c r="J118" s="841">
        <v>51.8</v>
      </c>
      <c r="K118" s="842">
        <f t="shared" si="17"/>
        <v>65.58</v>
      </c>
    </row>
    <row r="119" spans="1:1026" ht="54.75" customHeight="1" outlineLevel="1">
      <c r="A119" s="844"/>
      <c r="B119" s="891" t="s">
        <v>275</v>
      </c>
      <c r="C119" s="891" t="s">
        <v>276</v>
      </c>
      <c r="D119" s="450" t="s">
        <v>277</v>
      </c>
      <c r="E119" s="444" t="s">
        <v>27</v>
      </c>
      <c r="F119" s="881">
        <f>(TELHADOS!D27)*1.5</f>
        <v>439.78499999999997</v>
      </c>
      <c r="G119" s="893">
        <f t="shared" si="13"/>
        <v>106.29</v>
      </c>
      <c r="H119" s="883">
        <f t="shared" si="14"/>
        <v>46744.747649999998</v>
      </c>
      <c r="I119" s="844"/>
      <c r="J119" s="841">
        <v>83.95</v>
      </c>
      <c r="K119" s="842">
        <f t="shared" si="8"/>
        <v>106.29</v>
      </c>
    </row>
    <row r="120" spans="1:1026" ht="53.25" customHeight="1" outlineLevel="1">
      <c r="A120" s="844"/>
      <c r="B120" s="891" t="s">
        <v>278</v>
      </c>
      <c r="C120" s="891" t="s">
        <v>279</v>
      </c>
      <c r="D120" s="448" t="s">
        <v>280</v>
      </c>
      <c r="E120" s="444" t="s">
        <v>27</v>
      </c>
      <c r="F120" s="881">
        <f ca="1">Acabamentos!D84</f>
        <v>796.7</v>
      </c>
      <c r="G120" s="893">
        <f t="shared" si="13"/>
        <v>102.65</v>
      </c>
      <c r="H120" s="883">
        <f t="shared" ca="1" si="14"/>
        <v>81781.255000000005</v>
      </c>
      <c r="I120" s="844"/>
      <c r="J120" s="841">
        <f>composições!F1050</f>
        <v>81.073120000000003</v>
      </c>
      <c r="K120" s="842">
        <f t="shared" si="8"/>
        <v>102.65</v>
      </c>
    </row>
    <row r="121" spans="1:1026" ht="55.5" customHeight="1" outlineLevel="1">
      <c r="A121" s="844"/>
      <c r="B121" s="891" t="s">
        <v>281</v>
      </c>
      <c r="C121" s="891" t="s">
        <v>282</v>
      </c>
      <c r="D121" s="450" t="s">
        <v>283</v>
      </c>
      <c r="E121" s="444" t="s">
        <v>27</v>
      </c>
      <c r="F121" s="881">
        <f ca="1">Acabamentos!D86</f>
        <v>391.66</v>
      </c>
      <c r="G121" s="893">
        <f t="shared" si="13"/>
        <v>76.81</v>
      </c>
      <c r="H121" s="883">
        <f t="shared" ca="1" si="14"/>
        <v>30083.404600000002</v>
      </c>
      <c r="I121" s="844"/>
      <c r="J121" s="841">
        <v>60.67</v>
      </c>
      <c r="K121" s="842">
        <f t="shared" si="8"/>
        <v>76.81</v>
      </c>
    </row>
    <row r="122" spans="1:1026" ht="67.5" customHeight="1" outlineLevel="1">
      <c r="A122" s="844"/>
      <c r="B122" s="891" t="s">
        <v>284</v>
      </c>
      <c r="C122" s="891" t="s">
        <v>285</v>
      </c>
      <c r="D122" s="450" t="s">
        <v>286</v>
      </c>
      <c r="E122" s="444" t="s">
        <v>27</v>
      </c>
      <c r="F122" s="881">
        <f ca="1">ROUND((Acabamentos!D88)+(7.27*5.65),2)</f>
        <v>78.22</v>
      </c>
      <c r="G122" s="893">
        <f t="shared" si="13"/>
        <v>92.58</v>
      </c>
      <c r="H122" s="883">
        <f t="shared" ca="1" si="14"/>
        <v>7241.6075999999994</v>
      </c>
      <c r="I122" s="844"/>
      <c r="J122" s="841">
        <v>73.12</v>
      </c>
      <c r="K122" s="842">
        <f t="shared" si="8"/>
        <v>92.58</v>
      </c>
    </row>
    <row r="123" spans="1:1026" ht="53.25" customHeight="1" outlineLevel="1">
      <c r="A123" s="844"/>
      <c r="B123" s="891" t="s">
        <v>287</v>
      </c>
      <c r="C123" s="891" t="s">
        <v>288</v>
      </c>
      <c r="D123" s="450" t="s">
        <v>289</v>
      </c>
      <c r="E123" s="444" t="s">
        <v>27</v>
      </c>
      <c r="F123" s="881">
        <f ca="1">(Acabamentos!D90)*2</f>
        <v>38.76</v>
      </c>
      <c r="G123" s="893">
        <f t="shared" si="13"/>
        <v>91.08</v>
      </c>
      <c r="H123" s="883">
        <f t="shared" ca="1" si="14"/>
        <v>3530.2607999999996</v>
      </c>
      <c r="I123" s="844"/>
      <c r="J123" s="841">
        <v>71.94</v>
      </c>
      <c r="K123" s="842">
        <f t="shared" si="8"/>
        <v>91.08</v>
      </c>
    </row>
    <row r="124" spans="1:1026" ht="54" customHeight="1" outlineLevel="1">
      <c r="A124" s="844"/>
      <c r="B124" s="891" t="s">
        <v>290</v>
      </c>
      <c r="C124" s="891" t="s">
        <v>291</v>
      </c>
      <c r="D124" s="450" t="s">
        <v>292</v>
      </c>
      <c r="E124" s="444" t="s">
        <v>27</v>
      </c>
      <c r="F124" s="881">
        <f>Alvenaria!I34</f>
        <v>132.55200000000002</v>
      </c>
      <c r="G124" s="893">
        <f t="shared" si="13"/>
        <v>580.91</v>
      </c>
      <c r="H124" s="883">
        <f t="shared" si="14"/>
        <v>77000.782320000013</v>
      </c>
      <c r="I124" s="844"/>
      <c r="J124" s="841">
        <v>458.82</v>
      </c>
      <c r="K124" s="842">
        <f t="shared" si="8"/>
        <v>580.91</v>
      </c>
    </row>
    <row r="125" spans="1:1026" ht="24.95" customHeight="1" outlineLevel="1">
      <c r="A125" s="844"/>
      <c r="B125" s="875">
        <v>13</v>
      </c>
      <c r="C125" s="875"/>
      <c r="D125" s="447" t="s">
        <v>293</v>
      </c>
      <c r="E125" s="422"/>
      <c r="F125" s="876"/>
      <c r="G125" s="877"/>
      <c r="H125" s="878"/>
      <c r="I125" s="844"/>
    </row>
    <row r="126" spans="1:1026" s="827" customFormat="1" ht="24.95" customHeight="1" outlineLevel="1">
      <c r="A126" s="939"/>
      <c r="B126" s="940" t="s">
        <v>294</v>
      </c>
      <c r="C126" s="941"/>
      <c r="D126" s="942" t="s">
        <v>295</v>
      </c>
      <c r="E126" s="460"/>
      <c r="F126" s="943"/>
      <c r="G126" s="944"/>
      <c r="H126" s="945"/>
      <c r="I126" s="939"/>
      <c r="J126" s="946"/>
      <c r="K126" s="947"/>
      <c r="L126" s="948"/>
      <c r="M126" s="948"/>
      <c r="N126" s="948"/>
      <c r="O126" s="948"/>
      <c r="P126" s="948"/>
      <c r="Q126" s="948"/>
      <c r="R126" s="948"/>
      <c r="S126" s="948"/>
      <c r="T126" s="948"/>
      <c r="U126" s="948"/>
      <c r="V126" s="948"/>
      <c r="W126" s="948"/>
      <c r="X126" s="948"/>
      <c r="Y126" s="948"/>
      <c r="Z126" s="948"/>
      <c r="AA126" s="948"/>
      <c r="AB126" s="948"/>
      <c r="AC126" s="948"/>
      <c r="AD126" s="948"/>
      <c r="AE126" s="948"/>
      <c r="AF126" s="948"/>
      <c r="AG126" s="948"/>
      <c r="AH126" s="948"/>
      <c r="AI126" s="948"/>
      <c r="AJ126" s="948"/>
      <c r="AK126" s="948"/>
      <c r="AL126" s="948"/>
      <c r="AM126" s="948"/>
      <c r="AN126" s="948"/>
      <c r="AO126" s="948"/>
      <c r="AP126" s="948"/>
      <c r="AQ126" s="948"/>
      <c r="AR126" s="948"/>
      <c r="AS126" s="948"/>
      <c r="AT126" s="948"/>
      <c r="AU126" s="948"/>
      <c r="AV126" s="948"/>
      <c r="AW126" s="948"/>
      <c r="AX126" s="948"/>
      <c r="AY126" s="948"/>
      <c r="AZ126" s="948"/>
      <c r="BA126" s="948"/>
      <c r="BB126" s="948"/>
      <c r="BC126" s="948"/>
      <c r="BD126" s="948"/>
      <c r="BE126" s="948"/>
      <c r="BF126" s="948"/>
      <c r="BG126" s="948"/>
      <c r="BH126" s="948"/>
      <c r="BI126" s="948"/>
      <c r="BJ126" s="948"/>
      <c r="BK126" s="948"/>
      <c r="BL126" s="948"/>
      <c r="BM126" s="948"/>
      <c r="BN126" s="948"/>
      <c r="BO126" s="948"/>
      <c r="BP126" s="948"/>
      <c r="BQ126" s="948"/>
      <c r="BR126" s="948"/>
      <c r="BS126" s="948"/>
      <c r="BT126" s="948"/>
      <c r="BU126" s="948"/>
      <c r="BV126" s="948"/>
      <c r="BW126" s="948"/>
      <c r="BX126" s="948"/>
      <c r="BY126" s="948"/>
      <c r="BZ126" s="948"/>
      <c r="CA126" s="948"/>
      <c r="CB126" s="948"/>
      <c r="CC126" s="948"/>
      <c r="CD126" s="948"/>
      <c r="CE126" s="948"/>
      <c r="CF126" s="948"/>
      <c r="CG126" s="948"/>
      <c r="CH126" s="948"/>
      <c r="CI126" s="948"/>
      <c r="CJ126" s="948"/>
      <c r="CK126" s="948"/>
      <c r="CL126" s="948"/>
      <c r="CM126" s="948"/>
      <c r="CN126" s="948"/>
      <c r="CO126" s="948"/>
      <c r="CP126" s="948"/>
      <c r="CQ126" s="948"/>
      <c r="CR126" s="948"/>
      <c r="CS126" s="948"/>
      <c r="CT126" s="948"/>
      <c r="CU126" s="948"/>
      <c r="CV126" s="948"/>
      <c r="CW126" s="948"/>
      <c r="CX126" s="948"/>
      <c r="CY126" s="948"/>
      <c r="CZ126" s="948"/>
      <c r="DA126" s="948"/>
      <c r="DB126" s="948"/>
      <c r="DC126" s="948"/>
      <c r="DD126" s="948"/>
      <c r="DE126" s="948"/>
      <c r="DF126" s="948"/>
      <c r="DG126" s="948"/>
      <c r="DH126" s="948"/>
      <c r="DI126" s="948"/>
      <c r="DJ126" s="948"/>
      <c r="DK126" s="948"/>
      <c r="DL126" s="948"/>
      <c r="DM126" s="948"/>
      <c r="DN126" s="948"/>
      <c r="DO126" s="948"/>
      <c r="DP126" s="948"/>
      <c r="DQ126" s="948"/>
      <c r="DR126" s="948"/>
      <c r="DS126" s="948"/>
      <c r="DT126" s="948"/>
      <c r="DU126" s="948"/>
      <c r="DV126" s="948"/>
      <c r="DW126" s="948"/>
      <c r="DX126" s="948"/>
      <c r="DY126" s="948"/>
      <c r="DZ126" s="948"/>
      <c r="EA126" s="948"/>
      <c r="EB126" s="948"/>
      <c r="EC126" s="948"/>
      <c r="ED126" s="948"/>
      <c r="EE126" s="948"/>
      <c r="EF126" s="948"/>
      <c r="EG126" s="948"/>
      <c r="EH126" s="948"/>
      <c r="EI126" s="948"/>
      <c r="EJ126" s="948"/>
      <c r="EK126" s="948"/>
      <c r="EL126" s="948"/>
      <c r="EM126" s="948"/>
      <c r="EN126" s="948"/>
      <c r="EO126" s="948"/>
      <c r="EP126" s="948"/>
      <c r="EQ126" s="948"/>
      <c r="ER126" s="948"/>
      <c r="ES126" s="948"/>
      <c r="ET126" s="948"/>
      <c r="EU126" s="948"/>
      <c r="EV126" s="948"/>
      <c r="EW126" s="948"/>
      <c r="EX126" s="948"/>
      <c r="EY126" s="948"/>
      <c r="EZ126" s="948"/>
      <c r="FA126" s="948"/>
      <c r="FB126" s="948"/>
      <c r="FC126" s="948"/>
      <c r="FD126" s="948"/>
      <c r="FE126" s="948"/>
      <c r="FF126" s="948"/>
      <c r="FG126" s="948"/>
      <c r="FH126" s="948"/>
      <c r="FI126" s="948"/>
      <c r="FJ126" s="948"/>
      <c r="FK126" s="948"/>
      <c r="FL126" s="948"/>
      <c r="FM126" s="948"/>
      <c r="FN126" s="948"/>
      <c r="FO126" s="948"/>
      <c r="FP126" s="948"/>
      <c r="FQ126" s="948"/>
      <c r="FR126" s="948"/>
      <c r="FS126" s="948"/>
      <c r="FT126" s="948"/>
      <c r="FU126" s="948"/>
      <c r="FV126" s="948"/>
      <c r="FW126" s="948"/>
      <c r="FX126" s="948"/>
      <c r="FY126" s="948"/>
      <c r="FZ126" s="948"/>
      <c r="GA126" s="948"/>
      <c r="GB126" s="948"/>
      <c r="GC126" s="948"/>
      <c r="GD126" s="948"/>
      <c r="GE126" s="948"/>
      <c r="GF126" s="948"/>
      <c r="GG126" s="948"/>
      <c r="GH126" s="948"/>
      <c r="GI126" s="948"/>
      <c r="GJ126" s="948"/>
      <c r="GK126" s="948"/>
      <c r="GL126" s="948"/>
      <c r="GM126" s="948"/>
      <c r="GN126" s="948"/>
      <c r="GO126" s="948"/>
      <c r="GP126" s="948"/>
      <c r="GQ126" s="948"/>
      <c r="GR126" s="948"/>
      <c r="GS126" s="948"/>
      <c r="GT126" s="948"/>
      <c r="GU126" s="948"/>
      <c r="GV126" s="948"/>
      <c r="GW126" s="948"/>
      <c r="GX126" s="948"/>
      <c r="GY126" s="948"/>
      <c r="GZ126" s="948"/>
      <c r="HA126" s="948"/>
      <c r="HB126" s="948"/>
      <c r="HC126" s="948"/>
      <c r="HD126" s="948"/>
      <c r="HE126" s="948"/>
      <c r="HF126" s="948"/>
      <c r="HG126" s="948"/>
      <c r="HH126" s="948"/>
      <c r="HI126" s="948"/>
      <c r="HJ126" s="948"/>
      <c r="HK126" s="948"/>
      <c r="HL126" s="948"/>
      <c r="HM126" s="948"/>
      <c r="HN126" s="948"/>
      <c r="HO126" s="948"/>
      <c r="HP126" s="948"/>
      <c r="HQ126" s="948"/>
      <c r="HR126" s="948"/>
      <c r="HS126" s="948"/>
      <c r="HT126" s="948"/>
      <c r="HU126" s="948"/>
      <c r="HV126" s="948"/>
      <c r="HW126" s="948"/>
      <c r="HX126" s="948"/>
      <c r="HY126" s="948"/>
      <c r="HZ126" s="948"/>
      <c r="IA126" s="948"/>
      <c r="IB126" s="948"/>
      <c r="IC126" s="948"/>
      <c r="ID126" s="948"/>
      <c r="IE126" s="948"/>
      <c r="IF126" s="948"/>
      <c r="IG126" s="948"/>
      <c r="IH126" s="948"/>
      <c r="II126" s="948"/>
      <c r="IJ126" s="948"/>
      <c r="IK126" s="948"/>
      <c r="IL126" s="948"/>
      <c r="IM126" s="948"/>
      <c r="IN126" s="948"/>
      <c r="IO126" s="948"/>
      <c r="IP126" s="948"/>
      <c r="IQ126" s="948"/>
      <c r="IR126" s="948"/>
      <c r="IS126" s="948"/>
      <c r="IT126" s="948"/>
      <c r="IU126" s="948"/>
      <c r="IV126" s="948"/>
      <c r="IW126" s="948"/>
      <c r="IX126" s="948"/>
      <c r="IY126" s="948"/>
      <c r="IZ126" s="948"/>
      <c r="JA126" s="948"/>
      <c r="JB126" s="948"/>
      <c r="JC126" s="948"/>
      <c r="JD126" s="948"/>
      <c r="JE126" s="948"/>
      <c r="JF126" s="948"/>
      <c r="JG126" s="948"/>
      <c r="JH126" s="948"/>
      <c r="JI126" s="948"/>
      <c r="JJ126" s="948"/>
      <c r="JK126" s="948"/>
      <c r="JL126" s="948"/>
      <c r="JM126" s="948"/>
      <c r="JN126" s="948"/>
      <c r="JO126" s="948"/>
      <c r="JP126" s="948"/>
      <c r="JQ126" s="948"/>
      <c r="JR126" s="948"/>
      <c r="JS126" s="948"/>
      <c r="JT126" s="948"/>
      <c r="JU126" s="948"/>
      <c r="JV126" s="948"/>
      <c r="JW126" s="948"/>
      <c r="JX126" s="948"/>
      <c r="JY126" s="948"/>
      <c r="JZ126" s="948"/>
      <c r="KA126" s="948"/>
      <c r="KB126" s="948"/>
      <c r="KC126" s="948"/>
      <c r="KD126" s="948"/>
      <c r="KE126" s="948"/>
      <c r="KF126" s="948"/>
      <c r="KG126" s="948"/>
      <c r="KH126" s="948"/>
      <c r="KI126" s="948"/>
      <c r="KJ126" s="948"/>
      <c r="KK126" s="948"/>
      <c r="KL126" s="948"/>
      <c r="KM126" s="948"/>
      <c r="KN126" s="948"/>
      <c r="KO126" s="948"/>
      <c r="KP126" s="948"/>
      <c r="KQ126" s="948"/>
      <c r="KR126" s="948"/>
      <c r="KS126" s="948"/>
      <c r="KT126" s="948"/>
      <c r="KU126" s="948"/>
      <c r="KV126" s="948"/>
      <c r="KW126" s="948"/>
      <c r="KX126" s="948"/>
      <c r="KY126" s="948"/>
      <c r="KZ126" s="948"/>
      <c r="LA126" s="948"/>
      <c r="LB126" s="948"/>
      <c r="LC126" s="948"/>
      <c r="LD126" s="948"/>
      <c r="LE126" s="948"/>
      <c r="LF126" s="948"/>
      <c r="LG126" s="948"/>
      <c r="LH126" s="948"/>
      <c r="LI126" s="948"/>
      <c r="LJ126" s="948"/>
      <c r="LK126" s="948"/>
      <c r="LL126" s="948"/>
      <c r="LM126" s="948"/>
      <c r="LN126" s="948"/>
      <c r="LO126" s="948"/>
      <c r="LP126" s="948"/>
      <c r="LQ126" s="948"/>
      <c r="LR126" s="948"/>
      <c r="LS126" s="948"/>
      <c r="LT126" s="948"/>
      <c r="LU126" s="948"/>
      <c r="LV126" s="948"/>
      <c r="LW126" s="948"/>
      <c r="LX126" s="948"/>
      <c r="LY126" s="948"/>
      <c r="LZ126" s="948"/>
      <c r="MA126" s="948"/>
      <c r="MB126" s="948"/>
      <c r="MC126" s="948"/>
      <c r="MD126" s="948"/>
      <c r="ME126" s="948"/>
      <c r="MF126" s="948"/>
      <c r="MG126" s="948"/>
      <c r="MH126" s="948"/>
      <c r="MI126" s="948"/>
      <c r="MJ126" s="948"/>
      <c r="MK126" s="948"/>
      <c r="ML126" s="948"/>
      <c r="MM126" s="948"/>
      <c r="MN126" s="948"/>
      <c r="MO126" s="948"/>
      <c r="MP126" s="948"/>
      <c r="MQ126" s="948"/>
      <c r="MR126" s="948"/>
      <c r="MS126" s="948"/>
      <c r="MT126" s="948"/>
      <c r="MU126" s="948"/>
      <c r="MV126" s="948"/>
      <c r="MW126" s="948"/>
      <c r="MX126" s="948"/>
      <c r="MY126" s="948"/>
      <c r="MZ126" s="948"/>
      <c r="NA126" s="948"/>
      <c r="NB126" s="948"/>
      <c r="NC126" s="948"/>
      <c r="ND126" s="948"/>
      <c r="NE126" s="948"/>
      <c r="NF126" s="948"/>
      <c r="NG126" s="948"/>
      <c r="NH126" s="948"/>
      <c r="NI126" s="948"/>
      <c r="NJ126" s="948"/>
      <c r="NK126" s="948"/>
      <c r="NL126" s="948"/>
      <c r="NM126" s="948"/>
      <c r="NN126" s="948"/>
      <c r="NO126" s="948"/>
      <c r="NP126" s="948"/>
      <c r="NQ126" s="948"/>
      <c r="NR126" s="948"/>
      <c r="NS126" s="948"/>
      <c r="NT126" s="948"/>
      <c r="NU126" s="948"/>
      <c r="NV126" s="948"/>
      <c r="NW126" s="948"/>
      <c r="NX126" s="948"/>
      <c r="NY126" s="948"/>
      <c r="NZ126" s="948"/>
      <c r="OA126" s="948"/>
      <c r="OB126" s="948"/>
      <c r="OC126" s="948"/>
      <c r="OD126" s="948"/>
      <c r="OE126" s="948"/>
      <c r="OF126" s="948"/>
      <c r="OG126" s="948"/>
      <c r="OH126" s="948"/>
      <c r="OI126" s="948"/>
      <c r="OJ126" s="948"/>
      <c r="OK126" s="948"/>
      <c r="OL126" s="948"/>
      <c r="OM126" s="948"/>
      <c r="ON126" s="948"/>
      <c r="OO126" s="948"/>
      <c r="OP126" s="948"/>
      <c r="OQ126" s="948"/>
      <c r="OR126" s="948"/>
      <c r="OS126" s="948"/>
      <c r="OT126" s="948"/>
      <c r="OU126" s="948"/>
      <c r="OV126" s="948"/>
      <c r="OW126" s="948"/>
      <c r="OX126" s="948"/>
      <c r="OY126" s="948"/>
      <c r="OZ126" s="948"/>
      <c r="PA126" s="948"/>
      <c r="PB126" s="948"/>
      <c r="PC126" s="948"/>
      <c r="PD126" s="948"/>
      <c r="PE126" s="948"/>
      <c r="PF126" s="948"/>
      <c r="PG126" s="948"/>
      <c r="PH126" s="948"/>
      <c r="PI126" s="948"/>
      <c r="PJ126" s="948"/>
      <c r="PK126" s="948"/>
      <c r="PL126" s="948"/>
      <c r="PM126" s="948"/>
      <c r="PN126" s="948"/>
      <c r="PO126" s="948"/>
      <c r="PP126" s="948"/>
      <c r="PQ126" s="948"/>
      <c r="PR126" s="948"/>
      <c r="PS126" s="948"/>
      <c r="PT126" s="948"/>
      <c r="PU126" s="948"/>
      <c r="PV126" s="948"/>
      <c r="PW126" s="948"/>
      <c r="PX126" s="948"/>
      <c r="PY126" s="948"/>
      <c r="PZ126" s="948"/>
      <c r="QA126" s="948"/>
      <c r="QB126" s="948"/>
      <c r="QC126" s="948"/>
      <c r="QD126" s="948"/>
      <c r="QE126" s="948"/>
      <c r="QF126" s="948"/>
      <c r="QG126" s="948"/>
      <c r="QH126" s="948"/>
      <c r="QI126" s="948"/>
      <c r="QJ126" s="948"/>
      <c r="QK126" s="948"/>
      <c r="QL126" s="948"/>
      <c r="QM126" s="948"/>
      <c r="QN126" s="948"/>
      <c r="QO126" s="948"/>
      <c r="QP126" s="948"/>
      <c r="QQ126" s="948"/>
      <c r="QR126" s="948"/>
      <c r="QS126" s="948"/>
      <c r="QT126" s="948"/>
      <c r="QU126" s="948"/>
      <c r="QV126" s="948"/>
      <c r="QW126" s="948"/>
      <c r="QX126" s="948"/>
      <c r="QY126" s="948"/>
      <c r="QZ126" s="948"/>
      <c r="RA126" s="948"/>
      <c r="RB126" s="948"/>
      <c r="RC126" s="948"/>
      <c r="RD126" s="948"/>
      <c r="RE126" s="948"/>
      <c r="RF126" s="948"/>
      <c r="RG126" s="948"/>
      <c r="RH126" s="948"/>
      <c r="RI126" s="948"/>
      <c r="RJ126" s="948"/>
      <c r="RK126" s="948"/>
      <c r="RL126" s="948"/>
      <c r="RM126" s="948"/>
      <c r="RN126" s="948"/>
      <c r="RO126" s="948"/>
      <c r="RP126" s="948"/>
      <c r="RQ126" s="948"/>
      <c r="RR126" s="948"/>
      <c r="RS126" s="948"/>
      <c r="RT126" s="948"/>
      <c r="RU126" s="948"/>
      <c r="RV126" s="948"/>
      <c r="RW126" s="948"/>
      <c r="RX126" s="948"/>
      <c r="RY126" s="948"/>
      <c r="RZ126" s="948"/>
      <c r="SA126" s="948"/>
      <c r="SB126" s="948"/>
      <c r="SC126" s="948"/>
      <c r="SD126" s="948"/>
      <c r="SE126" s="948"/>
      <c r="SF126" s="948"/>
      <c r="SG126" s="948"/>
      <c r="SH126" s="948"/>
      <c r="SI126" s="948"/>
      <c r="SJ126" s="948"/>
      <c r="SK126" s="948"/>
      <c r="SL126" s="948"/>
      <c r="SM126" s="948"/>
      <c r="SN126" s="948"/>
      <c r="SO126" s="948"/>
      <c r="SP126" s="948"/>
      <c r="SQ126" s="948"/>
      <c r="SR126" s="948"/>
      <c r="SS126" s="948"/>
      <c r="ST126" s="948"/>
      <c r="SU126" s="948"/>
      <c r="SV126" s="948"/>
      <c r="SW126" s="948"/>
      <c r="SX126" s="948"/>
      <c r="SY126" s="948"/>
      <c r="SZ126" s="948"/>
      <c r="TA126" s="948"/>
      <c r="TB126" s="948"/>
      <c r="TC126" s="948"/>
      <c r="TD126" s="948"/>
      <c r="TE126" s="948"/>
      <c r="TF126" s="948"/>
      <c r="TG126" s="948"/>
      <c r="TH126" s="948"/>
      <c r="TI126" s="948"/>
      <c r="TJ126" s="948"/>
      <c r="TK126" s="948"/>
      <c r="TL126" s="948"/>
      <c r="TM126" s="948"/>
      <c r="TN126" s="948"/>
      <c r="TO126" s="948"/>
      <c r="TP126" s="948"/>
      <c r="TQ126" s="948"/>
      <c r="TR126" s="948"/>
      <c r="TS126" s="948"/>
      <c r="TT126" s="948"/>
      <c r="TU126" s="948"/>
      <c r="TV126" s="948"/>
      <c r="TW126" s="948"/>
      <c r="TX126" s="948"/>
      <c r="TY126" s="948"/>
      <c r="TZ126" s="948"/>
      <c r="UA126" s="948"/>
      <c r="UB126" s="948"/>
      <c r="UC126" s="948"/>
      <c r="UD126" s="948"/>
      <c r="UE126" s="948"/>
      <c r="UF126" s="948"/>
      <c r="UG126" s="948"/>
      <c r="UH126" s="948"/>
      <c r="UI126" s="948"/>
      <c r="UJ126" s="948"/>
      <c r="UK126" s="948"/>
      <c r="UL126" s="948"/>
      <c r="UM126" s="948"/>
      <c r="UN126" s="948"/>
      <c r="UO126" s="948"/>
      <c r="UP126" s="948"/>
      <c r="UQ126" s="948"/>
      <c r="UR126" s="948"/>
      <c r="US126" s="948"/>
      <c r="UT126" s="948"/>
      <c r="UU126" s="948"/>
      <c r="UV126" s="948"/>
      <c r="UW126" s="948"/>
      <c r="UX126" s="948"/>
      <c r="UY126" s="948"/>
      <c r="UZ126" s="948"/>
      <c r="VA126" s="948"/>
      <c r="VB126" s="948"/>
      <c r="VC126" s="948"/>
      <c r="VD126" s="948"/>
      <c r="VE126" s="948"/>
      <c r="VF126" s="948"/>
      <c r="VG126" s="948"/>
      <c r="VH126" s="948"/>
      <c r="VI126" s="948"/>
      <c r="VJ126" s="948"/>
      <c r="VK126" s="948"/>
      <c r="VL126" s="948"/>
      <c r="VM126" s="948"/>
      <c r="VN126" s="948"/>
      <c r="VO126" s="948"/>
      <c r="VP126" s="948"/>
      <c r="VQ126" s="948"/>
      <c r="VR126" s="948"/>
      <c r="VS126" s="948"/>
      <c r="VT126" s="948"/>
      <c r="VU126" s="948"/>
      <c r="VV126" s="948"/>
      <c r="VW126" s="948"/>
      <c r="VX126" s="948"/>
      <c r="VY126" s="948"/>
      <c r="VZ126" s="948"/>
      <c r="WA126" s="948"/>
      <c r="WB126" s="948"/>
      <c r="WC126" s="948"/>
      <c r="WD126" s="948"/>
      <c r="WE126" s="948"/>
      <c r="WF126" s="948"/>
      <c r="WG126" s="948"/>
      <c r="WH126" s="948"/>
      <c r="WI126" s="948"/>
      <c r="WJ126" s="948"/>
      <c r="WK126" s="948"/>
      <c r="WL126" s="948"/>
      <c r="WM126" s="948"/>
      <c r="WN126" s="948"/>
      <c r="WO126" s="948"/>
      <c r="WP126" s="948"/>
      <c r="WQ126" s="948"/>
      <c r="WR126" s="948"/>
      <c r="WS126" s="948"/>
      <c r="WT126" s="948"/>
      <c r="WU126" s="948"/>
      <c r="WV126" s="948"/>
      <c r="WW126" s="948"/>
      <c r="WX126" s="948"/>
      <c r="WY126" s="948"/>
      <c r="WZ126" s="948"/>
      <c r="XA126" s="948"/>
      <c r="XB126" s="948"/>
      <c r="XC126" s="948"/>
      <c r="XD126" s="948"/>
      <c r="XE126" s="948"/>
      <c r="XF126" s="948"/>
      <c r="XG126" s="948"/>
      <c r="XH126" s="948"/>
      <c r="XI126" s="948"/>
      <c r="XJ126" s="948"/>
      <c r="XK126" s="948"/>
      <c r="XL126" s="948"/>
      <c r="XM126" s="948"/>
      <c r="XN126" s="948"/>
      <c r="XO126" s="948"/>
      <c r="XP126" s="948"/>
      <c r="XQ126" s="948"/>
      <c r="XR126" s="948"/>
      <c r="XS126" s="948"/>
      <c r="XT126" s="948"/>
      <c r="XU126" s="948"/>
      <c r="XV126" s="948"/>
      <c r="XW126" s="948"/>
      <c r="XX126" s="948"/>
      <c r="XY126" s="948"/>
      <c r="XZ126" s="948"/>
      <c r="YA126" s="948"/>
      <c r="YB126" s="948"/>
      <c r="YC126" s="948"/>
      <c r="YD126" s="948"/>
      <c r="YE126" s="948"/>
      <c r="YF126" s="948"/>
      <c r="YG126" s="948"/>
      <c r="YH126" s="948"/>
      <c r="YI126" s="948"/>
      <c r="YJ126" s="948"/>
      <c r="YK126" s="948"/>
      <c r="YL126" s="948"/>
      <c r="YM126" s="948"/>
      <c r="YN126" s="948"/>
      <c r="YO126" s="948"/>
      <c r="YP126" s="948"/>
      <c r="YQ126" s="948"/>
      <c r="YR126" s="948"/>
      <c r="YS126" s="948"/>
      <c r="YT126" s="948"/>
      <c r="YU126" s="948"/>
      <c r="YV126" s="948"/>
      <c r="YW126" s="948"/>
      <c r="YX126" s="948"/>
      <c r="YY126" s="948"/>
      <c r="YZ126" s="948"/>
      <c r="ZA126" s="948"/>
      <c r="ZB126" s="948"/>
      <c r="ZC126" s="948"/>
      <c r="ZD126" s="948"/>
      <c r="ZE126" s="948"/>
      <c r="ZF126" s="948"/>
      <c r="ZG126" s="948"/>
      <c r="ZH126" s="948"/>
      <c r="ZI126" s="948"/>
      <c r="ZJ126" s="948"/>
      <c r="ZK126" s="948"/>
      <c r="ZL126" s="948"/>
      <c r="ZM126" s="948"/>
      <c r="ZN126" s="948"/>
      <c r="ZO126" s="948"/>
      <c r="ZP126" s="948"/>
      <c r="ZQ126" s="948"/>
      <c r="ZR126" s="948"/>
      <c r="ZS126" s="948"/>
      <c r="ZT126" s="948"/>
      <c r="ZU126" s="948"/>
      <c r="ZV126" s="948"/>
      <c r="ZW126" s="948"/>
      <c r="ZX126" s="948"/>
      <c r="ZY126" s="948"/>
      <c r="ZZ126" s="948"/>
      <c r="AAA126" s="948"/>
      <c r="AAB126" s="948"/>
      <c r="AAC126" s="948"/>
      <c r="AAD126" s="948"/>
      <c r="AAE126" s="948"/>
      <c r="AAF126" s="948"/>
      <c r="AAG126" s="948"/>
      <c r="AAH126" s="948"/>
      <c r="AAI126" s="948"/>
      <c r="AAJ126" s="948"/>
      <c r="AAK126" s="948"/>
      <c r="AAL126" s="948"/>
      <c r="AAM126" s="948"/>
      <c r="AAN126" s="948"/>
      <c r="AAO126" s="948"/>
      <c r="AAP126" s="948"/>
      <c r="AAQ126" s="948"/>
      <c r="AAR126" s="948"/>
      <c r="AAS126" s="948"/>
      <c r="AAT126" s="948"/>
      <c r="AAU126" s="948"/>
      <c r="AAV126" s="948"/>
      <c r="AAW126" s="948"/>
      <c r="AAX126" s="948"/>
      <c r="AAY126" s="948"/>
      <c r="AAZ126" s="948"/>
      <c r="ABA126" s="948"/>
      <c r="ABB126" s="948"/>
      <c r="ABC126" s="948"/>
      <c r="ABD126" s="948"/>
      <c r="ABE126" s="948"/>
      <c r="ABF126" s="948"/>
      <c r="ABG126" s="948"/>
      <c r="ABH126" s="948"/>
      <c r="ABI126" s="948"/>
      <c r="ABJ126" s="948"/>
      <c r="ABK126" s="948"/>
      <c r="ABL126" s="948"/>
      <c r="ABM126" s="948"/>
      <c r="ABN126" s="948"/>
      <c r="ABO126" s="948"/>
      <c r="ABP126" s="948"/>
      <c r="ABQ126" s="948"/>
      <c r="ABR126" s="948"/>
      <c r="ABS126" s="948"/>
      <c r="ABT126" s="948"/>
      <c r="ABU126" s="948"/>
      <c r="ABV126" s="948"/>
      <c r="ABW126" s="948"/>
      <c r="ABX126" s="948"/>
      <c r="ABY126" s="948"/>
      <c r="ABZ126" s="948"/>
      <c r="ACA126" s="948"/>
      <c r="ACB126" s="948"/>
      <c r="ACC126" s="948"/>
      <c r="ACD126" s="948"/>
      <c r="ACE126" s="948"/>
      <c r="ACF126" s="948"/>
      <c r="ACG126" s="948"/>
      <c r="ACH126" s="948"/>
      <c r="ACI126" s="948"/>
      <c r="ACJ126" s="948"/>
      <c r="ACK126" s="948"/>
      <c r="ACL126" s="948"/>
      <c r="ACM126" s="948"/>
      <c r="ACN126" s="948"/>
      <c r="ACO126" s="948"/>
      <c r="ACP126" s="948"/>
      <c r="ACQ126" s="948"/>
      <c r="ACR126" s="948"/>
      <c r="ACS126" s="948"/>
      <c r="ACT126" s="948"/>
      <c r="ACU126" s="948"/>
      <c r="ACV126" s="948"/>
      <c r="ACW126" s="948"/>
      <c r="ACX126" s="948"/>
      <c r="ACY126" s="948"/>
      <c r="ACZ126" s="948"/>
      <c r="ADA126" s="948"/>
      <c r="ADB126" s="948"/>
      <c r="ADC126" s="948"/>
      <c r="ADD126" s="948"/>
      <c r="ADE126" s="948"/>
      <c r="ADF126" s="948"/>
      <c r="ADG126" s="948"/>
      <c r="ADH126" s="948"/>
      <c r="ADI126" s="948"/>
      <c r="ADJ126" s="948"/>
      <c r="ADK126" s="948"/>
      <c r="ADL126" s="948"/>
      <c r="ADM126" s="948"/>
      <c r="ADN126" s="948"/>
      <c r="ADO126" s="948"/>
      <c r="ADP126" s="948"/>
      <c r="ADQ126" s="948"/>
      <c r="ADR126" s="948"/>
      <c r="ADS126" s="948"/>
      <c r="ADT126" s="948"/>
      <c r="ADU126" s="948"/>
      <c r="ADV126" s="948"/>
      <c r="ADW126" s="948"/>
      <c r="ADX126" s="948"/>
      <c r="ADY126" s="948"/>
      <c r="ADZ126" s="948"/>
      <c r="AEA126" s="948"/>
      <c r="AEB126" s="948"/>
      <c r="AEC126" s="948"/>
      <c r="AED126" s="948"/>
      <c r="AEE126" s="948"/>
      <c r="AEF126" s="948"/>
      <c r="AEG126" s="948"/>
      <c r="AEH126" s="948"/>
      <c r="AEI126" s="948"/>
      <c r="AEJ126" s="948"/>
      <c r="AEK126" s="948"/>
      <c r="AEL126" s="948"/>
      <c r="AEM126" s="948"/>
      <c r="AEN126" s="948"/>
      <c r="AEO126" s="948"/>
      <c r="AEP126" s="948"/>
      <c r="AEQ126" s="948"/>
      <c r="AER126" s="948"/>
      <c r="AES126" s="948"/>
      <c r="AET126" s="948"/>
      <c r="AEU126" s="948"/>
      <c r="AEV126" s="948"/>
      <c r="AEW126" s="948"/>
      <c r="AEX126" s="948"/>
      <c r="AEY126" s="948"/>
      <c r="AEZ126" s="948"/>
      <c r="AFA126" s="948"/>
      <c r="AFB126" s="948"/>
      <c r="AFC126" s="948"/>
      <c r="AFD126" s="948"/>
      <c r="AFE126" s="948"/>
      <c r="AFF126" s="948"/>
      <c r="AFG126" s="948"/>
      <c r="AFH126" s="948"/>
      <c r="AFI126" s="948"/>
      <c r="AFJ126" s="948"/>
      <c r="AFK126" s="948"/>
      <c r="AFL126" s="948"/>
      <c r="AFM126" s="948"/>
      <c r="AFN126" s="948"/>
      <c r="AFO126" s="948"/>
      <c r="AFP126" s="948"/>
      <c r="AFQ126" s="948"/>
      <c r="AFR126" s="948"/>
      <c r="AFS126" s="948"/>
      <c r="AFT126" s="948"/>
      <c r="AFU126" s="948"/>
      <c r="AFV126" s="948"/>
      <c r="AFW126" s="948"/>
      <c r="AFX126" s="948"/>
      <c r="AFY126" s="948"/>
      <c r="AFZ126" s="948"/>
      <c r="AGA126" s="948"/>
      <c r="AGB126" s="948"/>
      <c r="AGC126" s="948"/>
      <c r="AGD126" s="948"/>
      <c r="AGE126" s="948"/>
      <c r="AGF126" s="948"/>
      <c r="AGG126" s="948"/>
      <c r="AGH126" s="948"/>
      <c r="AGI126" s="948"/>
      <c r="AGJ126" s="948"/>
      <c r="AGK126" s="948"/>
      <c r="AGL126" s="948"/>
      <c r="AGM126" s="948"/>
      <c r="AGN126" s="948"/>
      <c r="AGO126" s="948"/>
      <c r="AGP126" s="948"/>
      <c r="AGQ126" s="948"/>
      <c r="AGR126" s="948"/>
      <c r="AGS126" s="948"/>
      <c r="AGT126" s="948"/>
      <c r="AGU126" s="948"/>
      <c r="AGV126" s="948"/>
      <c r="AGW126" s="948"/>
      <c r="AGX126" s="948"/>
      <c r="AGY126" s="948"/>
      <c r="AGZ126" s="948"/>
      <c r="AHA126" s="948"/>
      <c r="AHB126" s="948"/>
      <c r="AHC126" s="948"/>
      <c r="AHD126" s="948"/>
      <c r="AHE126" s="948"/>
      <c r="AHF126" s="948"/>
      <c r="AHG126" s="948"/>
      <c r="AHH126" s="948"/>
      <c r="AHI126" s="948"/>
      <c r="AHJ126" s="948"/>
      <c r="AHK126" s="948"/>
      <c r="AHL126" s="948"/>
      <c r="AHM126" s="948"/>
      <c r="AHN126" s="948"/>
      <c r="AHO126" s="948"/>
      <c r="AHP126" s="948"/>
      <c r="AHQ126" s="948"/>
      <c r="AHR126" s="948"/>
      <c r="AHS126" s="948"/>
      <c r="AHT126" s="948"/>
      <c r="AHU126" s="948"/>
      <c r="AHV126" s="948"/>
      <c r="AHW126" s="948"/>
      <c r="AHX126" s="948"/>
      <c r="AHY126" s="948"/>
      <c r="AHZ126" s="948"/>
      <c r="AIA126" s="948"/>
      <c r="AIB126" s="948"/>
      <c r="AIC126" s="948"/>
      <c r="AID126" s="948"/>
      <c r="AIE126" s="948"/>
      <c r="AIF126" s="948"/>
      <c r="AIG126" s="948"/>
      <c r="AIH126" s="948"/>
      <c r="AII126" s="948"/>
      <c r="AIJ126" s="948"/>
      <c r="AIK126" s="948"/>
      <c r="AIL126" s="948"/>
      <c r="AIM126" s="948"/>
      <c r="AIN126" s="948"/>
      <c r="AIO126" s="948"/>
      <c r="AIP126" s="948"/>
      <c r="AIQ126" s="948"/>
      <c r="AIR126" s="948"/>
      <c r="AIS126" s="948"/>
      <c r="AIT126" s="948"/>
      <c r="AIU126" s="948"/>
      <c r="AIV126" s="948"/>
      <c r="AIW126" s="948"/>
      <c r="AIX126" s="948"/>
      <c r="AIY126" s="948"/>
      <c r="AIZ126" s="948"/>
      <c r="AJA126" s="948"/>
      <c r="AJB126" s="948"/>
      <c r="AJC126" s="948"/>
      <c r="AJD126" s="948"/>
      <c r="AJE126" s="948"/>
      <c r="AJF126" s="948"/>
      <c r="AJG126" s="948"/>
      <c r="AJH126" s="948"/>
      <c r="AJI126" s="948"/>
      <c r="AJJ126" s="948"/>
      <c r="AJK126" s="948"/>
      <c r="AJL126" s="948"/>
      <c r="AJM126" s="948"/>
      <c r="AJN126" s="948"/>
      <c r="AJO126" s="948"/>
      <c r="AJP126" s="948"/>
      <c r="AJQ126" s="948"/>
      <c r="AJR126" s="948"/>
      <c r="AJS126" s="948"/>
      <c r="AJT126" s="948"/>
      <c r="AJU126" s="948"/>
      <c r="AJV126" s="948"/>
      <c r="AJW126" s="948"/>
      <c r="AJX126" s="948"/>
      <c r="AJY126" s="948"/>
      <c r="AJZ126" s="948"/>
      <c r="AKA126" s="948"/>
      <c r="AKB126" s="948"/>
      <c r="AKC126" s="948"/>
      <c r="AKD126" s="948"/>
      <c r="AKE126" s="948"/>
      <c r="AKF126" s="948"/>
      <c r="AKG126" s="948"/>
      <c r="AKH126" s="948"/>
      <c r="AKI126" s="948"/>
      <c r="AKJ126" s="948"/>
      <c r="AKK126" s="948"/>
      <c r="AKL126" s="948"/>
      <c r="AKM126" s="948"/>
      <c r="AKN126" s="948"/>
      <c r="AKO126" s="948"/>
      <c r="AKP126" s="948"/>
      <c r="AKQ126" s="948"/>
      <c r="AKR126" s="948"/>
      <c r="AKS126" s="948"/>
      <c r="AKT126" s="948"/>
      <c r="AKU126" s="948"/>
      <c r="AKV126" s="948"/>
      <c r="AKW126" s="948"/>
      <c r="AKX126" s="948"/>
      <c r="AKY126" s="948"/>
      <c r="AKZ126" s="948"/>
      <c r="ALA126" s="948"/>
      <c r="ALB126" s="948"/>
      <c r="ALC126" s="948"/>
      <c r="ALD126" s="948"/>
      <c r="ALE126" s="948"/>
      <c r="ALF126" s="948"/>
      <c r="ALG126" s="948"/>
      <c r="ALH126" s="948"/>
      <c r="ALI126" s="948"/>
      <c r="ALJ126" s="948"/>
      <c r="ALK126" s="948"/>
      <c r="ALL126" s="948"/>
      <c r="ALM126" s="948"/>
      <c r="ALN126" s="948"/>
      <c r="ALO126" s="948"/>
      <c r="ALP126" s="948"/>
      <c r="ALQ126" s="948"/>
      <c r="ALR126" s="948"/>
      <c r="ALS126" s="948"/>
      <c r="ALT126" s="948"/>
      <c r="ALU126" s="948"/>
      <c r="ALV126" s="948"/>
      <c r="ALW126" s="948"/>
      <c r="ALX126" s="948"/>
      <c r="ALY126" s="948"/>
      <c r="ALZ126" s="948"/>
      <c r="AMA126" s="948"/>
      <c r="AMB126" s="948"/>
      <c r="AMC126" s="948"/>
      <c r="AMD126" s="948"/>
      <c r="AME126" s="948"/>
      <c r="AMF126" s="948"/>
      <c r="AMG126" s="948"/>
      <c r="AMH126" s="948"/>
      <c r="AMI126" s="948"/>
      <c r="AMJ126" s="948"/>
      <c r="AMK126" s="948"/>
      <c r="AML126" s="948"/>
    </row>
    <row r="127" spans="1:1026" ht="24.95" customHeight="1" outlineLevel="1">
      <c r="A127" s="844"/>
      <c r="B127" s="891" t="s">
        <v>296</v>
      </c>
      <c r="C127" s="879" t="s">
        <v>297</v>
      </c>
      <c r="D127" s="443" t="s">
        <v>298</v>
      </c>
      <c r="E127" s="444" t="s">
        <v>27</v>
      </c>
      <c r="F127" s="881">
        <f>'Área de Contrapiso'!G65</f>
        <v>1091.54</v>
      </c>
      <c r="G127" s="893">
        <f t="shared" ref="G127:G130" si="18">K127</f>
        <v>46.14</v>
      </c>
      <c r="H127" s="883">
        <f t="shared" ref="H127:H130" si="19">F127*G127</f>
        <v>50363.655599999998</v>
      </c>
      <c r="I127" s="844"/>
      <c r="J127" s="841">
        <v>36.44</v>
      </c>
      <c r="K127" s="842">
        <f t="shared" si="8"/>
        <v>46.14</v>
      </c>
    </row>
    <row r="128" spans="1:1026" ht="38.25" customHeight="1" outlineLevel="1">
      <c r="A128" s="844"/>
      <c r="B128" s="891" t="s">
        <v>299</v>
      </c>
      <c r="C128" s="879" t="s">
        <v>300</v>
      </c>
      <c r="D128" s="443" t="s">
        <v>301</v>
      </c>
      <c r="E128" s="444" t="s">
        <v>27</v>
      </c>
      <c r="F128" s="881">
        <f>'Área de Contrapiso'!G65</f>
        <v>1091.54</v>
      </c>
      <c r="G128" s="893">
        <f t="shared" si="18"/>
        <v>22.87</v>
      </c>
      <c r="H128" s="883">
        <f t="shared" si="19"/>
        <v>24963.519800000002</v>
      </c>
      <c r="I128" s="844"/>
      <c r="J128" s="841">
        <v>18.059999999999999</v>
      </c>
      <c r="K128" s="842">
        <f t="shared" si="8"/>
        <v>22.87</v>
      </c>
    </row>
    <row r="129" spans="1:1026" ht="38.25" customHeight="1" outlineLevel="1">
      <c r="A129" s="844"/>
      <c r="B129" s="891" t="s">
        <v>302</v>
      </c>
      <c r="C129" s="879" t="s">
        <v>303</v>
      </c>
      <c r="D129" s="443" t="s">
        <v>304</v>
      </c>
      <c r="E129" s="444" t="s">
        <v>27</v>
      </c>
      <c r="F129" s="881">
        <f>('Área de Contrapiso'!G65)+('GRADIL - A.VERDE - Á EXT.'!C30)+('GRADIL - A.VERDE - Á EXT.'!C32)</f>
        <v>1352.51</v>
      </c>
      <c r="G129" s="893">
        <f t="shared" si="18"/>
        <v>47.34</v>
      </c>
      <c r="H129" s="883">
        <f t="shared" si="19"/>
        <v>64027.823400000001</v>
      </c>
      <c r="I129" s="844"/>
      <c r="J129" s="841">
        <v>37.39</v>
      </c>
      <c r="K129" s="842">
        <f t="shared" si="8"/>
        <v>47.34</v>
      </c>
    </row>
    <row r="130" spans="1:1026" ht="38.25" customHeight="1" outlineLevel="1">
      <c r="A130" s="844"/>
      <c r="B130" s="891" t="s">
        <v>305</v>
      </c>
      <c r="C130" s="879" t="s">
        <v>306</v>
      </c>
      <c r="D130" s="443" t="s">
        <v>307</v>
      </c>
      <c r="E130" s="444" t="s">
        <v>27</v>
      </c>
      <c r="F130" s="881">
        <f>('Área de Contrapiso'!G65)+('GRADIL - A.VERDE - Á EXT.'!C30)+('GRADIL - A.VERDE - Á EXT.'!C32)</f>
        <v>1352.51</v>
      </c>
      <c r="G130" s="893">
        <f t="shared" si="18"/>
        <v>2.27</v>
      </c>
      <c r="H130" s="883">
        <f t="shared" si="19"/>
        <v>3070.1977000000002</v>
      </c>
      <c r="I130" s="844"/>
      <c r="J130" s="841">
        <v>1.79</v>
      </c>
      <c r="K130" s="842">
        <f t="shared" si="8"/>
        <v>2.27</v>
      </c>
    </row>
    <row r="131" spans="1:1026" s="827" customFormat="1" ht="38.25" customHeight="1" outlineLevel="1">
      <c r="A131" s="939"/>
      <c r="B131" s="941" t="s">
        <v>308</v>
      </c>
      <c r="C131" s="949"/>
      <c r="D131" s="942" t="s">
        <v>271</v>
      </c>
      <c r="E131" s="460"/>
      <c r="F131" s="943"/>
      <c r="G131" s="950"/>
      <c r="H131" s="945"/>
      <c r="I131" s="939"/>
      <c r="J131" s="946"/>
      <c r="K131" s="947"/>
      <c r="L131" s="948"/>
      <c r="M131" s="948"/>
      <c r="N131" s="948"/>
      <c r="O131" s="948"/>
      <c r="P131" s="948"/>
      <c r="Q131" s="948"/>
      <c r="R131" s="948"/>
      <c r="S131" s="948"/>
      <c r="T131" s="948"/>
      <c r="U131" s="948"/>
      <c r="V131" s="948"/>
      <c r="W131" s="948"/>
      <c r="X131" s="948"/>
      <c r="Y131" s="948"/>
      <c r="Z131" s="948"/>
      <c r="AA131" s="948"/>
      <c r="AB131" s="948"/>
      <c r="AC131" s="948"/>
      <c r="AD131" s="948"/>
      <c r="AE131" s="948"/>
      <c r="AF131" s="948"/>
      <c r="AG131" s="948"/>
      <c r="AH131" s="948"/>
      <c r="AI131" s="948"/>
      <c r="AJ131" s="948"/>
      <c r="AK131" s="948"/>
      <c r="AL131" s="948"/>
      <c r="AM131" s="948"/>
      <c r="AN131" s="948"/>
      <c r="AO131" s="948"/>
      <c r="AP131" s="948"/>
      <c r="AQ131" s="948"/>
      <c r="AR131" s="948"/>
      <c r="AS131" s="948"/>
      <c r="AT131" s="948"/>
      <c r="AU131" s="948"/>
      <c r="AV131" s="948"/>
      <c r="AW131" s="948"/>
      <c r="AX131" s="948"/>
      <c r="AY131" s="948"/>
      <c r="AZ131" s="948"/>
      <c r="BA131" s="948"/>
      <c r="BB131" s="948"/>
      <c r="BC131" s="948"/>
      <c r="BD131" s="948"/>
      <c r="BE131" s="948"/>
      <c r="BF131" s="948"/>
      <c r="BG131" s="948"/>
      <c r="BH131" s="948"/>
      <c r="BI131" s="948"/>
      <c r="BJ131" s="948"/>
      <c r="BK131" s="948"/>
      <c r="BL131" s="948"/>
      <c r="BM131" s="948"/>
      <c r="BN131" s="948"/>
      <c r="BO131" s="948"/>
      <c r="BP131" s="948"/>
      <c r="BQ131" s="948"/>
      <c r="BR131" s="948"/>
      <c r="BS131" s="948"/>
      <c r="BT131" s="948"/>
      <c r="BU131" s="948"/>
      <c r="BV131" s="948"/>
      <c r="BW131" s="948"/>
      <c r="BX131" s="948"/>
      <c r="BY131" s="948"/>
      <c r="BZ131" s="948"/>
      <c r="CA131" s="948"/>
      <c r="CB131" s="948"/>
      <c r="CC131" s="948"/>
      <c r="CD131" s="948"/>
      <c r="CE131" s="948"/>
      <c r="CF131" s="948"/>
      <c r="CG131" s="948"/>
      <c r="CH131" s="948"/>
      <c r="CI131" s="948"/>
      <c r="CJ131" s="948"/>
      <c r="CK131" s="948"/>
      <c r="CL131" s="948"/>
      <c r="CM131" s="948"/>
      <c r="CN131" s="948"/>
      <c r="CO131" s="948"/>
      <c r="CP131" s="948"/>
      <c r="CQ131" s="948"/>
      <c r="CR131" s="948"/>
      <c r="CS131" s="948"/>
      <c r="CT131" s="948"/>
      <c r="CU131" s="948"/>
      <c r="CV131" s="948"/>
      <c r="CW131" s="948"/>
      <c r="CX131" s="948"/>
      <c r="CY131" s="948"/>
      <c r="CZ131" s="948"/>
      <c r="DA131" s="948"/>
      <c r="DB131" s="948"/>
      <c r="DC131" s="948"/>
      <c r="DD131" s="948"/>
      <c r="DE131" s="948"/>
      <c r="DF131" s="948"/>
      <c r="DG131" s="948"/>
      <c r="DH131" s="948"/>
      <c r="DI131" s="948"/>
      <c r="DJ131" s="948"/>
      <c r="DK131" s="948"/>
      <c r="DL131" s="948"/>
      <c r="DM131" s="948"/>
      <c r="DN131" s="948"/>
      <c r="DO131" s="948"/>
      <c r="DP131" s="948"/>
      <c r="DQ131" s="948"/>
      <c r="DR131" s="948"/>
      <c r="DS131" s="948"/>
      <c r="DT131" s="948"/>
      <c r="DU131" s="948"/>
      <c r="DV131" s="948"/>
      <c r="DW131" s="948"/>
      <c r="DX131" s="948"/>
      <c r="DY131" s="948"/>
      <c r="DZ131" s="948"/>
      <c r="EA131" s="948"/>
      <c r="EB131" s="948"/>
      <c r="EC131" s="948"/>
      <c r="ED131" s="948"/>
      <c r="EE131" s="948"/>
      <c r="EF131" s="948"/>
      <c r="EG131" s="948"/>
      <c r="EH131" s="948"/>
      <c r="EI131" s="948"/>
      <c r="EJ131" s="948"/>
      <c r="EK131" s="948"/>
      <c r="EL131" s="948"/>
      <c r="EM131" s="948"/>
      <c r="EN131" s="948"/>
      <c r="EO131" s="948"/>
      <c r="EP131" s="948"/>
      <c r="EQ131" s="948"/>
      <c r="ER131" s="948"/>
      <c r="ES131" s="948"/>
      <c r="ET131" s="948"/>
      <c r="EU131" s="948"/>
      <c r="EV131" s="948"/>
      <c r="EW131" s="948"/>
      <c r="EX131" s="948"/>
      <c r="EY131" s="948"/>
      <c r="EZ131" s="948"/>
      <c r="FA131" s="948"/>
      <c r="FB131" s="948"/>
      <c r="FC131" s="948"/>
      <c r="FD131" s="948"/>
      <c r="FE131" s="948"/>
      <c r="FF131" s="948"/>
      <c r="FG131" s="948"/>
      <c r="FH131" s="948"/>
      <c r="FI131" s="948"/>
      <c r="FJ131" s="948"/>
      <c r="FK131" s="948"/>
      <c r="FL131" s="948"/>
      <c r="FM131" s="948"/>
      <c r="FN131" s="948"/>
      <c r="FO131" s="948"/>
      <c r="FP131" s="948"/>
      <c r="FQ131" s="948"/>
      <c r="FR131" s="948"/>
      <c r="FS131" s="948"/>
      <c r="FT131" s="948"/>
      <c r="FU131" s="948"/>
      <c r="FV131" s="948"/>
      <c r="FW131" s="948"/>
      <c r="FX131" s="948"/>
      <c r="FY131" s="948"/>
      <c r="FZ131" s="948"/>
      <c r="GA131" s="948"/>
      <c r="GB131" s="948"/>
      <c r="GC131" s="948"/>
      <c r="GD131" s="948"/>
      <c r="GE131" s="948"/>
      <c r="GF131" s="948"/>
      <c r="GG131" s="948"/>
      <c r="GH131" s="948"/>
      <c r="GI131" s="948"/>
      <c r="GJ131" s="948"/>
      <c r="GK131" s="948"/>
      <c r="GL131" s="948"/>
      <c r="GM131" s="948"/>
      <c r="GN131" s="948"/>
      <c r="GO131" s="948"/>
      <c r="GP131" s="948"/>
      <c r="GQ131" s="948"/>
      <c r="GR131" s="948"/>
      <c r="GS131" s="948"/>
      <c r="GT131" s="948"/>
      <c r="GU131" s="948"/>
      <c r="GV131" s="948"/>
      <c r="GW131" s="948"/>
      <c r="GX131" s="948"/>
      <c r="GY131" s="948"/>
      <c r="GZ131" s="948"/>
      <c r="HA131" s="948"/>
      <c r="HB131" s="948"/>
      <c r="HC131" s="948"/>
      <c r="HD131" s="948"/>
      <c r="HE131" s="948"/>
      <c r="HF131" s="948"/>
      <c r="HG131" s="948"/>
      <c r="HH131" s="948"/>
      <c r="HI131" s="948"/>
      <c r="HJ131" s="948"/>
      <c r="HK131" s="948"/>
      <c r="HL131" s="948"/>
      <c r="HM131" s="948"/>
      <c r="HN131" s="948"/>
      <c r="HO131" s="948"/>
      <c r="HP131" s="948"/>
      <c r="HQ131" s="948"/>
      <c r="HR131" s="948"/>
      <c r="HS131" s="948"/>
      <c r="HT131" s="948"/>
      <c r="HU131" s="948"/>
      <c r="HV131" s="948"/>
      <c r="HW131" s="948"/>
      <c r="HX131" s="948"/>
      <c r="HY131" s="948"/>
      <c r="HZ131" s="948"/>
      <c r="IA131" s="948"/>
      <c r="IB131" s="948"/>
      <c r="IC131" s="948"/>
      <c r="ID131" s="948"/>
      <c r="IE131" s="948"/>
      <c r="IF131" s="948"/>
      <c r="IG131" s="948"/>
      <c r="IH131" s="948"/>
      <c r="II131" s="948"/>
      <c r="IJ131" s="948"/>
      <c r="IK131" s="948"/>
      <c r="IL131" s="948"/>
      <c r="IM131" s="948"/>
      <c r="IN131" s="948"/>
      <c r="IO131" s="948"/>
      <c r="IP131" s="948"/>
      <c r="IQ131" s="948"/>
      <c r="IR131" s="948"/>
      <c r="IS131" s="948"/>
      <c r="IT131" s="948"/>
      <c r="IU131" s="948"/>
      <c r="IV131" s="948"/>
      <c r="IW131" s="948"/>
      <c r="IX131" s="948"/>
      <c r="IY131" s="948"/>
      <c r="IZ131" s="948"/>
      <c r="JA131" s="948"/>
      <c r="JB131" s="948"/>
      <c r="JC131" s="948"/>
      <c r="JD131" s="948"/>
      <c r="JE131" s="948"/>
      <c r="JF131" s="948"/>
      <c r="JG131" s="948"/>
      <c r="JH131" s="948"/>
      <c r="JI131" s="948"/>
      <c r="JJ131" s="948"/>
      <c r="JK131" s="948"/>
      <c r="JL131" s="948"/>
      <c r="JM131" s="948"/>
      <c r="JN131" s="948"/>
      <c r="JO131" s="948"/>
      <c r="JP131" s="948"/>
      <c r="JQ131" s="948"/>
      <c r="JR131" s="948"/>
      <c r="JS131" s="948"/>
      <c r="JT131" s="948"/>
      <c r="JU131" s="948"/>
      <c r="JV131" s="948"/>
      <c r="JW131" s="948"/>
      <c r="JX131" s="948"/>
      <c r="JY131" s="948"/>
      <c r="JZ131" s="948"/>
      <c r="KA131" s="948"/>
      <c r="KB131" s="948"/>
      <c r="KC131" s="948"/>
      <c r="KD131" s="948"/>
      <c r="KE131" s="948"/>
      <c r="KF131" s="948"/>
      <c r="KG131" s="948"/>
      <c r="KH131" s="948"/>
      <c r="KI131" s="948"/>
      <c r="KJ131" s="948"/>
      <c r="KK131" s="948"/>
      <c r="KL131" s="948"/>
      <c r="KM131" s="948"/>
      <c r="KN131" s="948"/>
      <c r="KO131" s="948"/>
      <c r="KP131" s="948"/>
      <c r="KQ131" s="948"/>
      <c r="KR131" s="948"/>
      <c r="KS131" s="948"/>
      <c r="KT131" s="948"/>
      <c r="KU131" s="948"/>
      <c r="KV131" s="948"/>
      <c r="KW131" s="948"/>
      <c r="KX131" s="948"/>
      <c r="KY131" s="948"/>
      <c r="KZ131" s="948"/>
      <c r="LA131" s="948"/>
      <c r="LB131" s="948"/>
      <c r="LC131" s="948"/>
      <c r="LD131" s="948"/>
      <c r="LE131" s="948"/>
      <c r="LF131" s="948"/>
      <c r="LG131" s="948"/>
      <c r="LH131" s="948"/>
      <c r="LI131" s="948"/>
      <c r="LJ131" s="948"/>
      <c r="LK131" s="948"/>
      <c r="LL131" s="948"/>
      <c r="LM131" s="948"/>
      <c r="LN131" s="948"/>
      <c r="LO131" s="948"/>
      <c r="LP131" s="948"/>
      <c r="LQ131" s="948"/>
      <c r="LR131" s="948"/>
      <c r="LS131" s="948"/>
      <c r="LT131" s="948"/>
      <c r="LU131" s="948"/>
      <c r="LV131" s="948"/>
      <c r="LW131" s="948"/>
      <c r="LX131" s="948"/>
      <c r="LY131" s="948"/>
      <c r="LZ131" s="948"/>
      <c r="MA131" s="948"/>
      <c r="MB131" s="948"/>
      <c r="MC131" s="948"/>
      <c r="MD131" s="948"/>
      <c r="ME131" s="948"/>
      <c r="MF131" s="948"/>
      <c r="MG131" s="948"/>
      <c r="MH131" s="948"/>
      <c r="MI131" s="948"/>
      <c r="MJ131" s="948"/>
      <c r="MK131" s="948"/>
      <c r="ML131" s="948"/>
      <c r="MM131" s="948"/>
      <c r="MN131" s="948"/>
      <c r="MO131" s="948"/>
      <c r="MP131" s="948"/>
      <c r="MQ131" s="948"/>
      <c r="MR131" s="948"/>
      <c r="MS131" s="948"/>
      <c r="MT131" s="948"/>
      <c r="MU131" s="948"/>
      <c r="MV131" s="948"/>
      <c r="MW131" s="948"/>
      <c r="MX131" s="948"/>
      <c r="MY131" s="948"/>
      <c r="MZ131" s="948"/>
      <c r="NA131" s="948"/>
      <c r="NB131" s="948"/>
      <c r="NC131" s="948"/>
      <c r="ND131" s="948"/>
      <c r="NE131" s="948"/>
      <c r="NF131" s="948"/>
      <c r="NG131" s="948"/>
      <c r="NH131" s="948"/>
      <c r="NI131" s="948"/>
      <c r="NJ131" s="948"/>
      <c r="NK131" s="948"/>
      <c r="NL131" s="948"/>
      <c r="NM131" s="948"/>
      <c r="NN131" s="948"/>
      <c r="NO131" s="948"/>
      <c r="NP131" s="948"/>
      <c r="NQ131" s="948"/>
      <c r="NR131" s="948"/>
      <c r="NS131" s="948"/>
      <c r="NT131" s="948"/>
      <c r="NU131" s="948"/>
      <c r="NV131" s="948"/>
      <c r="NW131" s="948"/>
      <c r="NX131" s="948"/>
      <c r="NY131" s="948"/>
      <c r="NZ131" s="948"/>
      <c r="OA131" s="948"/>
      <c r="OB131" s="948"/>
      <c r="OC131" s="948"/>
      <c r="OD131" s="948"/>
      <c r="OE131" s="948"/>
      <c r="OF131" s="948"/>
      <c r="OG131" s="948"/>
      <c r="OH131" s="948"/>
      <c r="OI131" s="948"/>
      <c r="OJ131" s="948"/>
      <c r="OK131" s="948"/>
      <c r="OL131" s="948"/>
      <c r="OM131" s="948"/>
      <c r="ON131" s="948"/>
      <c r="OO131" s="948"/>
      <c r="OP131" s="948"/>
      <c r="OQ131" s="948"/>
      <c r="OR131" s="948"/>
      <c r="OS131" s="948"/>
      <c r="OT131" s="948"/>
      <c r="OU131" s="948"/>
      <c r="OV131" s="948"/>
      <c r="OW131" s="948"/>
      <c r="OX131" s="948"/>
      <c r="OY131" s="948"/>
      <c r="OZ131" s="948"/>
      <c r="PA131" s="948"/>
      <c r="PB131" s="948"/>
      <c r="PC131" s="948"/>
      <c r="PD131" s="948"/>
      <c r="PE131" s="948"/>
      <c r="PF131" s="948"/>
      <c r="PG131" s="948"/>
      <c r="PH131" s="948"/>
      <c r="PI131" s="948"/>
      <c r="PJ131" s="948"/>
      <c r="PK131" s="948"/>
      <c r="PL131" s="948"/>
      <c r="PM131" s="948"/>
      <c r="PN131" s="948"/>
      <c r="PO131" s="948"/>
      <c r="PP131" s="948"/>
      <c r="PQ131" s="948"/>
      <c r="PR131" s="948"/>
      <c r="PS131" s="948"/>
      <c r="PT131" s="948"/>
      <c r="PU131" s="948"/>
      <c r="PV131" s="948"/>
      <c r="PW131" s="948"/>
      <c r="PX131" s="948"/>
      <c r="PY131" s="948"/>
      <c r="PZ131" s="948"/>
      <c r="QA131" s="948"/>
      <c r="QB131" s="948"/>
      <c r="QC131" s="948"/>
      <c r="QD131" s="948"/>
      <c r="QE131" s="948"/>
      <c r="QF131" s="948"/>
      <c r="QG131" s="948"/>
      <c r="QH131" s="948"/>
      <c r="QI131" s="948"/>
      <c r="QJ131" s="948"/>
      <c r="QK131" s="948"/>
      <c r="QL131" s="948"/>
      <c r="QM131" s="948"/>
      <c r="QN131" s="948"/>
      <c r="QO131" s="948"/>
      <c r="QP131" s="948"/>
      <c r="QQ131" s="948"/>
      <c r="QR131" s="948"/>
      <c r="QS131" s="948"/>
      <c r="QT131" s="948"/>
      <c r="QU131" s="948"/>
      <c r="QV131" s="948"/>
      <c r="QW131" s="948"/>
      <c r="QX131" s="948"/>
      <c r="QY131" s="948"/>
      <c r="QZ131" s="948"/>
      <c r="RA131" s="948"/>
      <c r="RB131" s="948"/>
      <c r="RC131" s="948"/>
      <c r="RD131" s="948"/>
      <c r="RE131" s="948"/>
      <c r="RF131" s="948"/>
      <c r="RG131" s="948"/>
      <c r="RH131" s="948"/>
      <c r="RI131" s="948"/>
      <c r="RJ131" s="948"/>
      <c r="RK131" s="948"/>
      <c r="RL131" s="948"/>
      <c r="RM131" s="948"/>
      <c r="RN131" s="948"/>
      <c r="RO131" s="948"/>
      <c r="RP131" s="948"/>
      <c r="RQ131" s="948"/>
      <c r="RR131" s="948"/>
      <c r="RS131" s="948"/>
      <c r="RT131" s="948"/>
      <c r="RU131" s="948"/>
      <c r="RV131" s="948"/>
      <c r="RW131" s="948"/>
      <c r="RX131" s="948"/>
      <c r="RY131" s="948"/>
      <c r="RZ131" s="948"/>
      <c r="SA131" s="948"/>
      <c r="SB131" s="948"/>
      <c r="SC131" s="948"/>
      <c r="SD131" s="948"/>
      <c r="SE131" s="948"/>
      <c r="SF131" s="948"/>
      <c r="SG131" s="948"/>
      <c r="SH131" s="948"/>
      <c r="SI131" s="948"/>
      <c r="SJ131" s="948"/>
      <c r="SK131" s="948"/>
      <c r="SL131" s="948"/>
      <c r="SM131" s="948"/>
      <c r="SN131" s="948"/>
      <c r="SO131" s="948"/>
      <c r="SP131" s="948"/>
      <c r="SQ131" s="948"/>
      <c r="SR131" s="948"/>
      <c r="SS131" s="948"/>
      <c r="ST131" s="948"/>
      <c r="SU131" s="948"/>
      <c r="SV131" s="948"/>
      <c r="SW131" s="948"/>
      <c r="SX131" s="948"/>
      <c r="SY131" s="948"/>
      <c r="SZ131" s="948"/>
      <c r="TA131" s="948"/>
      <c r="TB131" s="948"/>
      <c r="TC131" s="948"/>
      <c r="TD131" s="948"/>
      <c r="TE131" s="948"/>
      <c r="TF131" s="948"/>
      <c r="TG131" s="948"/>
      <c r="TH131" s="948"/>
      <c r="TI131" s="948"/>
      <c r="TJ131" s="948"/>
      <c r="TK131" s="948"/>
      <c r="TL131" s="948"/>
      <c r="TM131" s="948"/>
      <c r="TN131" s="948"/>
      <c r="TO131" s="948"/>
      <c r="TP131" s="948"/>
      <c r="TQ131" s="948"/>
      <c r="TR131" s="948"/>
      <c r="TS131" s="948"/>
      <c r="TT131" s="948"/>
      <c r="TU131" s="948"/>
      <c r="TV131" s="948"/>
      <c r="TW131" s="948"/>
      <c r="TX131" s="948"/>
      <c r="TY131" s="948"/>
      <c r="TZ131" s="948"/>
      <c r="UA131" s="948"/>
      <c r="UB131" s="948"/>
      <c r="UC131" s="948"/>
      <c r="UD131" s="948"/>
      <c r="UE131" s="948"/>
      <c r="UF131" s="948"/>
      <c r="UG131" s="948"/>
      <c r="UH131" s="948"/>
      <c r="UI131" s="948"/>
      <c r="UJ131" s="948"/>
      <c r="UK131" s="948"/>
      <c r="UL131" s="948"/>
      <c r="UM131" s="948"/>
      <c r="UN131" s="948"/>
      <c r="UO131" s="948"/>
      <c r="UP131" s="948"/>
      <c r="UQ131" s="948"/>
      <c r="UR131" s="948"/>
      <c r="US131" s="948"/>
      <c r="UT131" s="948"/>
      <c r="UU131" s="948"/>
      <c r="UV131" s="948"/>
      <c r="UW131" s="948"/>
      <c r="UX131" s="948"/>
      <c r="UY131" s="948"/>
      <c r="UZ131" s="948"/>
      <c r="VA131" s="948"/>
      <c r="VB131" s="948"/>
      <c r="VC131" s="948"/>
      <c r="VD131" s="948"/>
      <c r="VE131" s="948"/>
      <c r="VF131" s="948"/>
      <c r="VG131" s="948"/>
      <c r="VH131" s="948"/>
      <c r="VI131" s="948"/>
      <c r="VJ131" s="948"/>
      <c r="VK131" s="948"/>
      <c r="VL131" s="948"/>
      <c r="VM131" s="948"/>
      <c r="VN131" s="948"/>
      <c r="VO131" s="948"/>
      <c r="VP131" s="948"/>
      <c r="VQ131" s="948"/>
      <c r="VR131" s="948"/>
      <c r="VS131" s="948"/>
      <c r="VT131" s="948"/>
      <c r="VU131" s="948"/>
      <c r="VV131" s="948"/>
      <c r="VW131" s="948"/>
      <c r="VX131" s="948"/>
      <c r="VY131" s="948"/>
      <c r="VZ131" s="948"/>
      <c r="WA131" s="948"/>
      <c r="WB131" s="948"/>
      <c r="WC131" s="948"/>
      <c r="WD131" s="948"/>
      <c r="WE131" s="948"/>
      <c r="WF131" s="948"/>
      <c r="WG131" s="948"/>
      <c r="WH131" s="948"/>
      <c r="WI131" s="948"/>
      <c r="WJ131" s="948"/>
      <c r="WK131" s="948"/>
      <c r="WL131" s="948"/>
      <c r="WM131" s="948"/>
      <c r="WN131" s="948"/>
      <c r="WO131" s="948"/>
      <c r="WP131" s="948"/>
      <c r="WQ131" s="948"/>
      <c r="WR131" s="948"/>
      <c r="WS131" s="948"/>
      <c r="WT131" s="948"/>
      <c r="WU131" s="948"/>
      <c r="WV131" s="948"/>
      <c r="WW131" s="948"/>
      <c r="WX131" s="948"/>
      <c r="WY131" s="948"/>
      <c r="WZ131" s="948"/>
      <c r="XA131" s="948"/>
      <c r="XB131" s="948"/>
      <c r="XC131" s="948"/>
      <c r="XD131" s="948"/>
      <c r="XE131" s="948"/>
      <c r="XF131" s="948"/>
      <c r="XG131" s="948"/>
      <c r="XH131" s="948"/>
      <c r="XI131" s="948"/>
      <c r="XJ131" s="948"/>
      <c r="XK131" s="948"/>
      <c r="XL131" s="948"/>
      <c r="XM131" s="948"/>
      <c r="XN131" s="948"/>
      <c r="XO131" s="948"/>
      <c r="XP131" s="948"/>
      <c r="XQ131" s="948"/>
      <c r="XR131" s="948"/>
      <c r="XS131" s="948"/>
      <c r="XT131" s="948"/>
      <c r="XU131" s="948"/>
      <c r="XV131" s="948"/>
      <c r="XW131" s="948"/>
      <c r="XX131" s="948"/>
      <c r="XY131" s="948"/>
      <c r="XZ131" s="948"/>
      <c r="YA131" s="948"/>
      <c r="YB131" s="948"/>
      <c r="YC131" s="948"/>
      <c r="YD131" s="948"/>
      <c r="YE131" s="948"/>
      <c r="YF131" s="948"/>
      <c r="YG131" s="948"/>
      <c r="YH131" s="948"/>
      <c r="YI131" s="948"/>
      <c r="YJ131" s="948"/>
      <c r="YK131" s="948"/>
      <c r="YL131" s="948"/>
      <c r="YM131" s="948"/>
      <c r="YN131" s="948"/>
      <c r="YO131" s="948"/>
      <c r="YP131" s="948"/>
      <c r="YQ131" s="948"/>
      <c r="YR131" s="948"/>
      <c r="YS131" s="948"/>
      <c r="YT131" s="948"/>
      <c r="YU131" s="948"/>
      <c r="YV131" s="948"/>
      <c r="YW131" s="948"/>
      <c r="YX131" s="948"/>
      <c r="YY131" s="948"/>
      <c r="YZ131" s="948"/>
      <c r="ZA131" s="948"/>
      <c r="ZB131" s="948"/>
      <c r="ZC131" s="948"/>
      <c r="ZD131" s="948"/>
      <c r="ZE131" s="948"/>
      <c r="ZF131" s="948"/>
      <c r="ZG131" s="948"/>
      <c r="ZH131" s="948"/>
      <c r="ZI131" s="948"/>
      <c r="ZJ131" s="948"/>
      <c r="ZK131" s="948"/>
      <c r="ZL131" s="948"/>
      <c r="ZM131" s="948"/>
      <c r="ZN131" s="948"/>
      <c r="ZO131" s="948"/>
      <c r="ZP131" s="948"/>
      <c r="ZQ131" s="948"/>
      <c r="ZR131" s="948"/>
      <c r="ZS131" s="948"/>
      <c r="ZT131" s="948"/>
      <c r="ZU131" s="948"/>
      <c r="ZV131" s="948"/>
      <c r="ZW131" s="948"/>
      <c r="ZX131" s="948"/>
      <c r="ZY131" s="948"/>
      <c r="ZZ131" s="948"/>
      <c r="AAA131" s="948"/>
      <c r="AAB131" s="948"/>
      <c r="AAC131" s="948"/>
      <c r="AAD131" s="948"/>
      <c r="AAE131" s="948"/>
      <c r="AAF131" s="948"/>
      <c r="AAG131" s="948"/>
      <c r="AAH131" s="948"/>
      <c r="AAI131" s="948"/>
      <c r="AAJ131" s="948"/>
      <c r="AAK131" s="948"/>
      <c r="AAL131" s="948"/>
      <c r="AAM131" s="948"/>
      <c r="AAN131" s="948"/>
      <c r="AAO131" s="948"/>
      <c r="AAP131" s="948"/>
      <c r="AAQ131" s="948"/>
      <c r="AAR131" s="948"/>
      <c r="AAS131" s="948"/>
      <c r="AAT131" s="948"/>
      <c r="AAU131" s="948"/>
      <c r="AAV131" s="948"/>
      <c r="AAW131" s="948"/>
      <c r="AAX131" s="948"/>
      <c r="AAY131" s="948"/>
      <c r="AAZ131" s="948"/>
      <c r="ABA131" s="948"/>
      <c r="ABB131" s="948"/>
      <c r="ABC131" s="948"/>
      <c r="ABD131" s="948"/>
      <c r="ABE131" s="948"/>
      <c r="ABF131" s="948"/>
      <c r="ABG131" s="948"/>
      <c r="ABH131" s="948"/>
      <c r="ABI131" s="948"/>
      <c r="ABJ131" s="948"/>
      <c r="ABK131" s="948"/>
      <c r="ABL131" s="948"/>
      <c r="ABM131" s="948"/>
      <c r="ABN131" s="948"/>
      <c r="ABO131" s="948"/>
      <c r="ABP131" s="948"/>
      <c r="ABQ131" s="948"/>
      <c r="ABR131" s="948"/>
      <c r="ABS131" s="948"/>
      <c r="ABT131" s="948"/>
      <c r="ABU131" s="948"/>
      <c r="ABV131" s="948"/>
      <c r="ABW131" s="948"/>
      <c r="ABX131" s="948"/>
      <c r="ABY131" s="948"/>
      <c r="ABZ131" s="948"/>
      <c r="ACA131" s="948"/>
      <c r="ACB131" s="948"/>
      <c r="ACC131" s="948"/>
      <c r="ACD131" s="948"/>
      <c r="ACE131" s="948"/>
      <c r="ACF131" s="948"/>
      <c r="ACG131" s="948"/>
      <c r="ACH131" s="948"/>
      <c r="ACI131" s="948"/>
      <c r="ACJ131" s="948"/>
      <c r="ACK131" s="948"/>
      <c r="ACL131" s="948"/>
      <c r="ACM131" s="948"/>
      <c r="ACN131" s="948"/>
      <c r="ACO131" s="948"/>
      <c r="ACP131" s="948"/>
      <c r="ACQ131" s="948"/>
      <c r="ACR131" s="948"/>
      <c r="ACS131" s="948"/>
      <c r="ACT131" s="948"/>
      <c r="ACU131" s="948"/>
      <c r="ACV131" s="948"/>
      <c r="ACW131" s="948"/>
      <c r="ACX131" s="948"/>
      <c r="ACY131" s="948"/>
      <c r="ACZ131" s="948"/>
      <c r="ADA131" s="948"/>
      <c r="ADB131" s="948"/>
      <c r="ADC131" s="948"/>
      <c r="ADD131" s="948"/>
      <c r="ADE131" s="948"/>
      <c r="ADF131" s="948"/>
      <c r="ADG131" s="948"/>
      <c r="ADH131" s="948"/>
      <c r="ADI131" s="948"/>
      <c r="ADJ131" s="948"/>
      <c r="ADK131" s="948"/>
      <c r="ADL131" s="948"/>
      <c r="ADM131" s="948"/>
      <c r="ADN131" s="948"/>
      <c r="ADO131" s="948"/>
      <c r="ADP131" s="948"/>
      <c r="ADQ131" s="948"/>
      <c r="ADR131" s="948"/>
      <c r="ADS131" s="948"/>
      <c r="ADT131" s="948"/>
      <c r="ADU131" s="948"/>
      <c r="ADV131" s="948"/>
      <c r="ADW131" s="948"/>
      <c r="ADX131" s="948"/>
      <c r="ADY131" s="948"/>
      <c r="ADZ131" s="948"/>
      <c r="AEA131" s="948"/>
      <c r="AEB131" s="948"/>
      <c r="AEC131" s="948"/>
      <c r="AED131" s="948"/>
      <c r="AEE131" s="948"/>
      <c r="AEF131" s="948"/>
      <c r="AEG131" s="948"/>
      <c r="AEH131" s="948"/>
      <c r="AEI131" s="948"/>
      <c r="AEJ131" s="948"/>
      <c r="AEK131" s="948"/>
      <c r="AEL131" s="948"/>
      <c r="AEM131" s="948"/>
      <c r="AEN131" s="948"/>
      <c r="AEO131" s="948"/>
      <c r="AEP131" s="948"/>
      <c r="AEQ131" s="948"/>
      <c r="AER131" s="948"/>
      <c r="AES131" s="948"/>
      <c r="AET131" s="948"/>
      <c r="AEU131" s="948"/>
      <c r="AEV131" s="948"/>
      <c r="AEW131" s="948"/>
      <c r="AEX131" s="948"/>
      <c r="AEY131" s="948"/>
      <c r="AEZ131" s="948"/>
      <c r="AFA131" s="948"/>
      <c r="AFB131" s="948"/>
      <c r="AFC131" s="948"/>
      <c r="AFD131" s="948"/>
      <c r="AFE131" s="948"/>
      <c r="AFF131" s="948"/>
      <c r="AFG131" s="948"/>
      <c r="AFH131" s="948"/>
      <c r="AFI131" s="948"/>
      <c r="AFJ131" s="948"/>
      <c r="AFK131" s="948"/>
      <c r="AFL131" s="948"/>
      <c r="AFM131" s="948"/>
      <c r="AFN131" s="948"/>
      <c r="AFO131" s="948"/>
      <c r="AFP131" s="948"/>
      <c r="AFQ131" s="948"/>
      <c r="AFR131" s="948"/>
      <c r="AFS131" s="948"/>
      <c r="AFT131" s="948"/>
      <c r="AFU131" s="948"/>
      <c r="AFV131" s="948"/>
      <c r="AFW131" s="948"/>
      <c r="AFX131" s="948"/>
      <c r="AFY131" s="948"/>
      <c r="AFZ131" s="948"/>
      <c r="AGA131" s="948"/>
      <c r="AGB131" s="948"/>
      <c r="AGC131" s="948"/>
      <c r="AGD131" s="948"/>
      <c r="AGE131" s="948"/>
      <c r="AGF131" s="948"/>
      <c r="AGG131" s="948"/>
      <c r="AGH131" s="948"/>
      <c r="AGI131" s="948"/>
      <c r="AGJ131" s="948"/>
      <c r="AGK131" s="948"/>
      <c r="AGL131" s="948"/>
      <c r="AGM131" s="948"/>
      <c r="AGN131" s="948"/>
      <c r="AGO131" s="948"/>
      <c r="AGP131" s="948"/>
      <c r="AGQ131" s="948"/>
      <c r="AGR131" s="948"/>
      <c r="AGS131" s="948"/>
      <c r="AGT131" s="948"/>
      <c r="AGU131" s="948"/>
      <c r="AGV131" s="948"/>
      <c r="AGW131" s="948"/>
      <c r="AGX131" s="948"/>
      <c r="AGY131" s="948"/>
      <c r="AGZ131" s="948"/>
      <c r="AHA131" s="948"/>
      <c r="AHB131" s="948"/>
      <c r="AHC131" s="948"/>
      <c r="AHD131" s="948"/>
      <c r="AHE131" s="948"/>
      <c r="AHF131" s="948"/>
      <c r="AHG131" s="948"/>
      <c r="AHH131" s="948"/>
      <c r="AHI131" s="948"/>
      <c r="AHJ131" s="948"/>
      <c r="AHK131" s="948"/>
      <c r="AHL131" s="948"/>
      <c r="AHM131" s="948"/>
      <c r="AHN131" s="948"/>
      <c r="AHO131" s="948"/>
      <c r="AHP131" s="948"/>
      <c r="AHQ131" s="948"/>
      <c r="AHR131" s="948"/>
      <c r="AHS131" s="948"/>
      <c r="AHT131" s="948"/>
      <c r="AHU131" s="948"/>
      <c r="AHV131" s="948"/>
      <c r="AHW131" s="948"/>
      <c r="AHX131" s="948"/>
      <c r="AHY131" s="948"/>
      <c r="AHZ131" s="948"/>
      <c r="AIA131" s="948"/>
      <c r="AIB131" s="948"/>
      <c r="AIC131" s="948"/>
      <c r="AID131" s="948"/>
      <c r="AIE131" s="948"/>
      <c r="AIF131" s="948"/>
      <c r="AIG131" s="948"/>
      <c r="AIH131" s="948"/>
      <c r="AII131" s="948"/>
      <c r="AIJ131" s="948"/>
      <c r="AIK131" s="948"/>
      <c r="AIL131" s="948"/>
      <c r="AIM131" s="948"/>
      <c r="AIN131" s="948"/>
      <c r="AIO131" s="948"/>
      <c r="AIP131" s="948"/>
      <c r="AIQ131" s="948"/>
      <c r="AIR131" s="948"/>
      <c r="AIS131" s="948"/>
      <c r="AIT131" s="948"/>
      <c r="AIU131" s="948"/>
      <c r="AIV131" s="948"/>
      <c r="AIW131" s="948"/>
      <c r="AIX131" s="948"/>
      <c r="AIY131" s="948"/>
      <c r="AIZ131" s="948"/>
      <c r="AJA131" s="948"/>
      <c r="AJB131" s="948"/>
      <c r="AJC131" s="948"/>
      <c r="AJD131" s="948"/>
      <c r="AJE131" s="948"/>
      <c r="AJF131" s="948"/>
      <c r="AJG131" s="948"/>
      <c r="AJH131" s="948"/>
      <c r="AJI131" s="948"/>
      <c r="AJJ131" s="948"/>
      <c r="AJK131" s="948"/>
      <c r="AJL131" s="948"/>
      <c r="AJM131" s="948"/>
      <c r="AJN131" s="948"/>
      <c r="AJO131" s="948"/>
      <c r="AJP131" s="948"/>
      <c r="AJQ131" s="948"/>
      <c r="AJR131" s="948"/>
      <c r="AJS131" s="948"/>
      <c r="AJT131" s="948"/>
      <c r="AJU131" s="948"/>
      <c r="AJV131" s="948"/>
      <c r="AJW131" s="948"/>
      <c r="AJX131" s="948"/>
      <c r="AJY131" s="948"/>
      <c r="AJZ131" s="948"/>
      <c r="AKA131" s="948"/>
      <c r="AKB131" s="948"/>
      <c r="AKC131" s="948"/>
      <c r="AKD131" s="948"/>
      <c r="AKE131" s="948"/>
      <c r="AKF131" s="948"/>
      <c r="AKG131" s="948"/>
      <c r="AKH131" s="948"/>
      <c r="AKI131" s="948"/>
      <c r="AKJ131" s="948"/>
      <c r="AKK131" s="948"/>
      <c r="AKL131" s="948"/>
      <c r="AKM131" s="948"/>
      <c r="AKN131" s="948"/>
      <c r="AKO131" s="948"/>
      <c r="AKP131" s="948"/>
      <c r="AKQ131" s="948"/>
      <c r="AKR131" s="948"/>
      <c r="AKS131" s="948"/>
      <c r="AKT131" s="948"/>
      <c r="AKU131" s="948"/>
      <c r="AKV131" s="948"/>
      <c r="AKW131" s="948"/>
      <c r="AKX131" s="948"/>
      <c r="AKY131" s="948"/>
      <c r="AKZ131" s="948"/>
      <c r="ALA131" s="948"/>
      <c r="ALB131" s="948"/>
      <c r="ALC131" s="948"/>
      <c r="ALD131" s="948"/>
      <c r="ALE131" s="948"/>
      <c r="ALF131" s="948"/>
      <c r="ALG131" s="948"/>
      <c r="ALH131" s="948"/>
      <c r="ALI131" s="948"/>
      <c r="ALJ131" s="948"/>
      <c r="ALK131" s="948"/>
      <c r="ALL131" s="948"/>
      <c r="ALM131" s="948"/>
      <c r="ALN131" s="948"/>
      <c r="ALO131" s="948"/>
      <c r="ALP131" s="948"/>
      <c r="ALQ131" s="948"/>
      <c r="ALR131" s="948"/>
      <c r="ALS131" s="948"/>
      <c r="ALT131" s="948"/>
      <c r="ALU131" s="948"/>
      <c r="ALV131" s="948"/>
      <c r="ALW131" s="948"/>
      <c r="ALX131" s="948"/>
      <c r="ALY131" s="948"/>
      <c r="ALZ131" s="948"/>
      <c r="AMA131" s="948"/>
      <c r="AMB131" s="948"/>
      <c r="AMC131" s="948"/>
      <c r="AMD131" s="948"/>
      <c r="AME131" s="948"/>
      <c r="AMF131" s="948"/>
      <c r="AMG131" s="948"/>
      <c r="AMH131" s="948"/>
      <c r="AMI131" s="948"/>
      <c r="AMJ131" s="948"/>
      <c r="AMK131" s="948"/>
      <c r="AML131" s="948"/>
    </row>
    <row r="132" spans="1:1026" ht="50.25" customHeight="1" outlineLevel="1">
      <c r="A132" s="844"/>
      <c r="B132" s="891" t="s">
        <v>309</v>
      </c>
      <c r="C132" s="891" t="s">
        <v>276</v>
      </c>
      <c r="D132" s="450" t="s">
        <v>310</v>
      </c>
      <c r="E132" s="891" t="s">
        <v>27</v>
      </c>
      <c r="F132" s="881">
        <f ca="1">Acabamentos!D105</f>
        <v>776.16</v>
      </c>
      <c r="G132" s="893">
        <f t="shared" ref="G132:G138" si="20">K132</f>
        <v>106.29</v>
      </c>
      <c r="H132" s="883">
        <f t="shared" ref="H132:H138" ca="1" si="21">F132*G132</f>
        <v>82498.046400000007</v>
      </c>
      <c r="I132" s="844"/>
      <c r="J132" s="841">
        <v>83.95</v>
      </c>
      <c r="K132" s="842">
        <f>ROUND(J132*(1+$H$14),2)</f>
        <v>106.29</v>
      </c>
    </row>
    <row r="133" spans="1:1026" ht="36.950000000000003" customHeight="1" outlineLevel="1">
      <c r="A133" s="844"/>
      <c r="B133" s="891" t="s">
        <v>311</v>
      </c>
      <c r="C133" s="891" t="s">
        <v>312</v>
      </c>
      <c r="D133" s="450" t="s">
        <v>313</v>
      </c>
      <c r="E133" s="444" t="s">
        <v>27</v>
      </c>
      <c r="F133" s="881">
        <f ca="1">Acabamentos!D104</f>
        <v>367.36</v>
      </c>
      <c r="G133" s="893">
        <f t="shared" si="20"/>
        <v>220.38</v>
      </c>
      <c r="H133" s="883">
        <f t="shared" ca="1" si="21"/>
        <v>80958.796799999996</v>
      </c>
      <c r="I133" s="844"/>
      <c r="J133" s="841">
        <v>174.06</v>
      </c>
      <c r="K133" s="842">
        <f>ROUND(J133*(1+$H$14),2)</f>
        <v>220.38</v>
      </c>
    </row>
    <row r="134" spans="1:1026" ht="36" customHeight="1" outlineLevel="1">
      <c r="A134" s="844"/>
      <c r="B134" s="891" t="s">
        <v>314</v>
      </c>
      <c r="C134" s="891" t="s">
        <v>315</v>
      </c>
      <c r="D134" s="450" t="s">
        <v>316</v>
      </c>
      <c r="E134" s="891" t="s">
        <v>27</v>
      </c>
      <c r="F134" s="881">
        <f>'GRADIL - A.VERDE - Á EXT.'!C32</f>
        <v>134.21</v>
      </c>
      <c r="G134" s="893">
        <f t="shared" si="20"/>
        <v>229.68</v>
      </c>
      <c r="H134" s="883">
        <f t="shared" si="21"/>
        <v>30825.352800000004</v>
      </c>
      <c r="I134" s="844"/>
      <c r="J134" s="841">
        <v>181.41</v>
      </c>
      <c r="K134" s="842">
        <f>ROUND(J134*(1+$H$14),2)</f>
        <v>229.68</v>
      </c>
    </row>
    <row r="135" spans="1:1026" s="827" customFormat="1" ht="36" customHeight="1" outlineLevel="1">
      <c r="A135" s="939"/>
      <c r="B135" s="941">
        <v>14</v>
      </c>
      <c r="C135" s="941"/>
      <c r="D135" s="942" t="s">
        <v>317</v>
      </c>
      <c r="E135" s="941"/>
      <c r="F135" s="943"/>
      <c r="G135" s="950"/>
      <c r="H135" s="945"/>
      <c r="I135" s="939"/>
      <c r="J135" s="946"/>
      <c r="K135" s="947"/>
      <c r="L135" s="948"/>
      <c r="M135" s="948"/>
      <c r="N135" s="948"/>
      <c r="O135" s="948"/>
      <c r="P135" s="948"/>
      <c r="Q135" s="948"/>
      <c r="R135" s="948"/>
      <c r="S135" s="948"/>
      <c r="T135" s="948"/>
      <c r="U135" s="948"/>
      <c r="V135" s="948"/>
      <c r="W135" s="948"/>
      <c r="X135" s="948"/>
      <c r="Y135" s="948"/>
      <c r="Z135" s="948"/>
      <c r="AA135" s="948"/>
      <c r="AB135" s="948"/>
      <c r="AC135" s="948"/>
      <c r="AD135" s="948"/>
      <c r="AE135" s="948"/>
      <c r="AF135" s="948"/>
      <c r="AG135" s="948"/>
      <c r="AH135" s="948"/>
      <c r="AI135" s="948"/>
      <c r="AJ135" s="948"/>
      <c r="AK135" s="948"/>
      <c r="AL135" s="948"/>
      <c r="AM135" s="948"/>
      <c r="AN135" s="948"/>
      <c r="AO135" s="948"/>
      <c r="AP135" s="948"/>
      <c r="AQ135" s="948"/>
      <c r="AR135" s="948"/>
      <c r="AS135" s="948"/>
      <c r="AT135" s="948"/>
      <c r="AU135" s="948"/>
      <c r="AV135" s="948"/>
      <c r="AW135" s="948"/>
      <c r="AX135" s="948"/>
      <c r="AY135" s="948"/>
      <c r="AZ135" s="948"/>
      <c r="BA135" s="948"/>
      <c r="BB135" s="948"/>
      <c r="BC135" s="948"/>
      <c r="BD135" s="948"/>
      <c r="BE135" s="948"/>
      <c r="BF135" s="948"/>
      <c r="BG135" s="948"/>
      <c r="BH135" s="948"/>
      <c r="BI135" s="948"/>
      <c r="BJ135" s="948"/>
      <c r="BK135" s="948"/>
      <c r="BL135" s="948"/>
      <c r="BM135" s="948"/>
      <c r="BN135" s="948"/>
      <c r="BO135" s="948"/>
      <c r="BP135" s="948"/>
      <c r="BQ135" s="948"/>
      <c r="BR135" s="948"/>
      <c r="BS135" s="948"/>
      <c r="BT135" s="948"/>
      <c r="BU135" s="948"/>
      <c r="BV135" s="948"/>
      <c r="BW135" s="948"/>
      <c r="BX135" s="948"/>
      <c r="BY135" s="948"/>
      <c r="BZ135" s="948"/>
      <c r="CA135" s="948"/>
      <c r="CB135" s="948"/>
      <c r="CC135" s="948"/>
      <c r="CD135" s="948"/>
      <c r="CE135" s="948"/>
      <c r="CF135" s="948"/>
      <c r="CG135" s="948"/>
      <c r="CH135" s="948"/>
      <c r="CI135" s="948"/>
      <c r="CJ135" s="948"/>
      <c r="CK135" s="948"/>
      <c r="CL135" s="948"/>
      <c r="CM135" s="948"/>
      <c r="CN135" s="948"/>
      <c r="CO135" s="948"/>
      <c r="CP135" s="948"/>
      <c r="CQ135" s="948"/>
      <c r="CR135" s="948"/>
      <c r="CS135" s="948"/>
      <c r="CT135" s="948"/>
      <c r="CU135" s="948"/>
      <c r="CV135" s="948"/>
      <c r="CW135" s="948"/>
      <c r="CX135" s="948"/>
      <c r="CY135" s="948"/>
      <c r="CZ135" s="948"/>
      <c r="DA135" s="948"/>
      <c r="DB135" s="948"/>
      <c r="DC135" s="948"/>
      <c r="DD135" s="948"/>
      <c r="DE135" s="948"/>
      <c r="DF135" s="948"/>
      <c r="DG135" s="948"/>
      <c r="DH135" s="948"/>
      <c r="DI135" s="948"/>
      <c r="DJ135" s="948"/>
      <c r="DK135" s="948"/>
      <c r="DL135" s="948"/>
      <c r="DM135" s="948"/>
      <c r="DN135" s="948"/>
      <c r="DO135" s="948"/>
      <c r="DP135" s="948"/>
      <c r="DQ135" s="948"/>
      <c r="DR135" s="948"/>
      <c r="DS135" s="948"/>
      <c r="DT135" s="948"/>
      <c r="DU135" s="948"/>
      <c r="DV135" s="948"/>
      <c r="DW135" s="948"/>
      <c r="DX135" s="948"/>
      <c r="DY135" s="948"/>
      <c r="DZ135" s="948"/>
      <c r="EA135" s="948"/>
      <c r="EB135" s="948"/>
      <c r="EC135" s="948"/>
      <c r="ED135" s="948"/>
      <c r="EE135" s="948"/>
      <c r="EF135" s="948"/>
      <c r="EG135" s="948"/>
      <c r="EH135" s="948"/>
      <c r="EI135" s="948"/>
      <c r="EJ135" s="948"/>
      <c r="EK135" s="948"/>
      <c r="EL135" s="948"/>
      <c r="EM135" s="948"/>
      <c r="EN135" s="948"/>
      <c r="EO135" s="948"/>
      <c r="EP135" s="948"/>
      <c r="EQ135" s="948"/>
      <c r="ER135" s="948"/>
      <c r="ES135" s="948"/>
      <c r="ET135" s="948"/>
      <c r="EU135" s="948"/>
      <c r="EV135" s="948"/>
      <c r="EW135" s="948"/>
      <c r="EX135" s="948"/>
      <c r="EY135" s="948"/>
      <c r="EZ135" s="948"/>
      <c r="FA135" s="948"/>
      <c r="FB135" s="948"/>
      <c r="FC135" s="948"/>
      <c r="FD135" s="948"/>
      <c r="FE135" s="948"/>
      <c r="FF135" s="948"/>
      <c r="FG135" s="948"/>
      <c r="FH135" s="948"/>
      <c r="FI135" s="948"/>
      <c r="FJ135" s="948"/>
      <c r="FK135" s="948"/>
      <c r="FL135" s="948"/>
      <c r="FM135" s="948"/>
      <c r="FN135" s="948"/>
      <c r="FO135" s="948"/>
      <c r="FP135" s="948"/>
      <c r="FQ135" s="948"/>
      <c r="FR135" s="948"/>
      <c r="FS135" s="948"/>
      <c r="FT135" s="948"/>
      <c r="FU135" s="948"/>
      <c r="FV135" s="948"/>
      <c r="FW135" s="948"/>
      <c r="FX135" s="948"/>
      <c r="FY135" s="948"/>
      <c r="FZ135" s="948"/>
      <c r="GA135" s="948"/>
      <c r="GB135" s="948"/>
      <c r="GC135" s="948"/>
      <c r="GD135" s="948"/>
      <c r="GE135" s="948"/>
      <c r="GF135" s="948"/>
      <c r="GG135" s="948"/>
      <c r="GH135" s="948"/>
      <c r="GI135" s="948"/>
      <c r="GJ135" s="948"/>
      <c r="GK135" s="948"/>
      <c r="GL135" s="948"/>
      <c r="GM135" s="948"/>
      <c r="GN135" s="948"/>
      <c r="GO135" s="948"/>
      <c r="GP135" s="948"/>
      <c r="GQ135" s="948"/>
      <c r="GR135" s="948"/>
      <c r="GS135" s="948"/>
      <c r="GT135" s="948"/>
      <c r="GU135" s="948"/>
      <c r="GV135" s="948"/>
      <c r="GW135" s="948"/>
      <c r="GX135" s="948"/>
      <c r="GY135" s="948"/>
      <c r="GZ135" s="948"/>
      <c r="HA135" s="948"/>
      <c r="HB135" s="948"/>
      <c r="HC135" s="948"/>
      <c r="HD135" s="948"/>
      <c r="HE135" s="948"/>
      <c r="HF135" s="948"/>
      <c r="HG135" s="948"/>
      <c r="HH135" s="948"/>
      <c r="HI135" s="948"/>
      <c r="HJ135" s="948"/>
      <c r="HK135" s="948"/>
      <c r="HL135" s="948"/>
      <c r="HM135" s="948"/>
      <c r="HN135" s="948"/>
      <c r="HO135" s="948"/>
      <c r="HP135" s="948"/>
      <c r="HQ135" s="948"/>
      <c r="HR135" s="948"/>
      <c r="HS135" s="948"/>
      <c r="HT135" s="948"/>
      <c r="HU135" s="948"/>
      <c r="HV135" s="948"/>
      <c r="HW135" s="948"/>
      <c r="HX135" s="948"/>
      <c r="HY135" s="948"/>
      <c r="HZ135" s="948"/>
      <c r="IA135" s="948"/>
      <c r="IB135" s="948"/>
      <c r="IC135" s="948"/>
      <c r="ID135" s="948"/>
      <c r="IE135" s="948"/>
      <c r="IF135" s="948"/>
      <c r="IG135" s="948"/>
      <c r="IH135" s="948"/>
      <c r="II135" s="948"/>
      <c r="IJ135" s="948"/>
      <c r="IK135" s="948"/>
      <c r="IL135" s="948"/>
      <c r="IM135" s="948"/>
      <c r="IN135" s="948"/>
      <c r="IO135" s="948"/>
      <c r="IP135" s="948"/>
      <c r="IQ135" s="948"/>
      <c r="IR135" s="948"/>
      <c r="IS135" s="948"/>
      <c r="IT135" s="948"/>
      <c r="IU135" s="948"/>
      <c r="IV135" s="948"/>
      <c r="IW135" s="948"/>
      <c r="IX135" s="948"/>
      <c r="IY135" s="948"/>
      <c r="IZ135" s="948"/>
      <c r="JA135" s="948"/>
      <c r="JB135" s="948"/>
      <c r="JC135" s="948"/>
      <c r="JD135" s="948"/>
      <c r="JE135" s="948"/>
      <c r="JF135" s="948"/>
      <c r="JG135" s="948"/>
      <c r="JH135" s="948"/>
      <c r="JI135" s="948"/>
      <c r="JJ135" s="948"/>
      <c r="JK135" s="948"/>
      <c r="JL135" s="948"/>
      <c r="JM135" s="948"/>
      <c r="JN135" s="948"/>
      <c r="JO135" s="948"/>
      <c r="JP135" s="948"/>
      <c r="JQ135" s="948"/>
      <c r="JR135" s="948"/>
      <c r="JS135" s="948"/>
      <c r="JT135" s="948"/>
      <c r="JU135" s="948"/>
      <c r="JV135" s="948"/>
      <c r="JW135" s="948"/>
      <c r="JX135" s="948"/>
      <c r="JY135" s="948"/>
      <c r="JZ135" s="948"/>
      <c r="KA135" s="948"/>
      <c r="KB135" s="948"/>
      <c r="KC135" s="948"/>
      <c r="KD135" s="948"/>
      <c r="KE135" s="948"/>
      <c r="KF135" s="948"/>
      <c r="KG135" s="948"/>
      <c r="KH135" s="948"/>
      <c r="KI135" s="948"/>
      <c r="KJ135" s="948"/>
      <c r="KK135" s="948"/>
      <c r="KL135" s="948"/>
      <c r="KM135" s="948"/>
      <c r="KN135" s="948"/>
      <c r="KO135" s="948"/>
      <c r="KP135" s="948"/>
      <c r="KQ135" s="948"/>
      <c r="KR135" s="948"/>
      <c r="KS135" s="948"/>
      <c r="KT135" s="948"/>
      <c r="KU135" s="948"/>
      <c r="KV135" s="948"/>
      <c r="KW135" s="948"/>
      <c r="KX135" s="948"/>
      <c r="KY135" s="948"/>
      <c r="KZ135" s="948"/>
      <c r="LA135" s="948"/>
      <c r="LB135" s="948"/>
      <c r="LC135" s="948"/>
      <c r="LD135" s="948"/>
      <c r="LE135" s="948"/>
      <c r="LF135" s="948"/>
      <c r="LG135" s="948"/>
      <c r="LH135" s="948"/>
      <c r="LI135" s="948"/>
      <c r="LJ135" s="948"/>
      <c r="LK135" s="948"/>
      <c r="LL135" s="948"/>
      <c r="LM135" s="948"/>
      <c r="LN135" s="948"/>
      <c r="LO135" s="948"/>
      <c r="LP135" s="948"/>
      <c r="LQ135" s="948"/>
      <c r="LR135" s="948"/>
      <c r="LS135" s="948"/>
      <c r="LT135" s="948"/>
      <c r="LU135" s="948"/>
      <c r="LV135" s="948"/>
      <c r="LW135" s="948"/>
      <c r="LX135" s="948"/>
      <c r="LY135" s="948"/>
      <c r="LZ135" s="948"/>
      <c r="MA135" s="948"/>
      <c r="MB135" s="948"/>
      <c r="MC135" s="948"/>
      <c r="MD135" s="948"/>
      <c r="ME135" s="948"/>
      <c r="MF135" s="948"/>
      <c r="MG135" s="948"/>
      <c r="MH135" s="948"/>
      <c r="MI135" s="948"/>
      <c r="MJ135" s="948"/>
      <c r="MK135" s="948"/>
      <c r="ML135" s="948"/>
      <c r="MM135" s="948"/>
      <c r="MN135" s="948"/>
      <c r="MO135" s="948"/>
      <c r="MP135" s="948"/>
      <c r="MQ135" s="948"/>
      <c r="MR135" s="948"/>
      <c r="MS135" s="948"/>
      <c r="MT135" s="948"/>
      <c r="MU135" s="948"/>
      <c r="MV135" s="948"/>
      <c r="MW135" s="948"/>
      <c r="MX135" s="948"/>
      <c r="MY135" s="948"/>
      <c r="MZ135" s="948"/>
      <c r="NA135" s="948"/>
      <c r="NB135" s="948"/>
      <c r="NC135" s="948"/>
      <c r="ND135" s="948"/>
      <c r="NE135" s="948"/>
      <c r="NF135" s="948"/>
      <c r="NG135" s="948"/>
      <c r="NH135" s="948"/>
      <c r="NI135" s="948"/>
      <c r="NJ135" s="948"/>
      <c r="NK135" s="948"/>
      <c r="NL135" s="948"/>
      <c r="NM135" s="948"/>
      <c r="NN135" s="948"/>
      <c r="NO135" s="948"/>
      <c r="NP135" s="948"/>
      <c r="NQ135" s="948"/>
      <c r="NR135" s="948"/>
      <c r="NS135" s="948"/>
      <c r="NT135" s="948"/>
      <c r="NU135" s="948"/>
      <c r="NV135" s="948"/>
      <c r="NW135" s="948"/>
      <c r="NX135" s="948"/>
      <c r="NY135" s="948"/>
      <c r="NZ135" s="948"/>
      <c r="OA135" s="948"/>
      <c r="OB135" s="948"/>
      <c r="OC135" s="948"/>
      <c r="OD135" s="948"/>
      <c r="OE135" s="948"/>
      <c r="OF135" s="948"/>
      <c r="OG135" s="948"/>
      <c r="OH135" s="948"/>
      <c r="OI135" s="948"/>
      <c r="OJ135" s="948"/>
      <c r="OK135" s="948"/>
      <c r="OL135" s="948"/>
      <c r="OM135" s="948"/>
      <c r="ON135" s="948"/>
      <c r="OO135" s="948"/>
      <c r="OP135" s="948"/>
      <c r="OQ135" s="948"/>
      <c r="OR135" s="948"/>
      <c r="OS135" s="948"/>
      <c r="OT135" s="948"/>
      <c r="OU135" s="948"/>
      <c r="OV135" s="948"/>
      <c r="OW135" s="948"/>
      <c r="OX135" s="948"/>
      <c r="OY135" s="948"/>
      <c r="OZ135" s="948"/>
      <c r="PA135" s="948"/>
      <c r="PB135" s="948"/>
      <c r="PC135" s="948"/>
      <c r="PD135" s="948"/>
      <c r="PE135" s="948"/>
      <c r="PF135" s="948"/>
      <c r="PG135" s="948"/>
      <c r="PH135" s="948"/>
      <c r="PI135" s="948"/>
      <c r="PJ135" s="948"/>
      <c r="PK135" s="948"/>
      <c r="PL135" s="948"/>
      <c r="PM135" s="948"/>
      <c r="PN135" s="948"/>
      <c r="PO135" s="948"/>
      <c r="PP135" s="948"/>
      <c r="PQ135" s="948"/>
      <c r="PR135" s="948"/>
      <c r="PS135" s="948"/>
      <c r="PT135" s="948"/>
      <c r="PU135" s="948"/>
      <c r="PV135" s="948"/>
      <c r="PW135" s="948"/>
      <c r="PX135" s="948"/>
      <c r="PY135" s="948"/>
      <c r="PZ135" s="948"/>
      <c r="QA135" s="948"/>
      <c r="QB135" s="948"/>
      <c r="QC135" s="948"/>
      <c r="QD135" s="948"/>
      <c r="QE135" s="948"/>
      <c r="QF135" s="948"/>
      <c r="QG135" s="948"/>
      <c r="QH135" s="948"/>
      <c r="QI135" s="948"/>
      <c r="QJ135" s="948"/>
      <c r="QK135" s="948"/>
      <c r="QL135" s="948"/>
      <c r="QM135" s="948"/>
      <c r="QN135" s="948"/>
      <c r="QO135" s="948"/>
      <c r="QP135" s="948"/>
      <c r="QQ135" s="948"/>
      <c r="QR135" s="948"/>
      <c r="QS135" s="948"/>
      <c r="QT135" s="948"/>
      <c r="QU135" s="948"/>
      <c r="QV135" s="948"/>
      <c r="QW135" s="948"/>
      <c r="QX135" s="948"/>
      <c r="QY135" s="948"/>
      <c r="QZ135" s="948"/>
      <c r="RA135" s="948"/>
      <c r="RB135" s="948"/>
      <c r="RC135" s="948"/>
      <c r="RD135" s="948"/>
      <c r="RE135" s="948"/>
      <c r="RF135" s="948"/>
      <c r="RG135" s="948"/>
      <c r="RH135" s="948"/>
      <c r="RI135" s="948"/>
      <c r="RJ135" s="948"/>
      <c r="RK135" s="948"/>
      <c r="RL135" s="948"/>
      <c r="RM135" s="948"/>
      <c r="RN135" s="948"/>
      <c r="RO135" s="948"/>
      <c r="RP135" s="948"/>
      <c r="RQ135" s="948"/>
      <c r="RR135" s="948"/>
      <c r="RS135" s="948"/>
      <c r="RT135" s="948"/>
      <c r="RU135" s="948"/>
      <c r="RV135" s="948"/>
      <c r="RW135" s="948"/>
      <c r="RX135" s="948"/>
      <c r="RY135" s="948"/>
      <c r="RZ135" s="948"/>
      <c r="SA135" s="948"/>
      <c r="SB135" s="948"/>
      <c r="SC135" s="948"/>
      <c r="SD135" s="948"/>
      <c r="SE135" s="948"/>
      <c r="SF135" s="948"/>
      <c r="SG135" s="948"/>
      <c r="SH135" s="948"/>
      <c r="SI135" s="948"/>
      <c r="SJ135" s="948"/>
      <c r="SK135" s="948"/>
      <c r="SL135" s="948"/>
      <c r="SM135" s="948"/>
      <c r="SN135" s="948"/>
      <c r="SO135" s="948"/>
      <c r="SP135" s="948"/>
      <c r="SQ135" s="948"/>
      <c r="SR135" s="948"/>
      <c r="SS135" s="948"/>
      <c r="ST135" s="948"/>
      <c r="SU135" s="948"/>
      <c r="SV135" s="948"/>
      <c r="SW135" s="948"/>
      <c r="SX135" s="948"/>
      <c r="SY135" s="948"/>
      <c r="SZ135" s="948"/>
      <c r="TA135" s="948"/>
      <c r="TB135" s="948"/>
      <c r="TC135" s="948"/>
      <c r="TD135" s="948"/>
      <c r="TE135" s="948"/>
      <c r="TF135" s="948"/>
      <c r="TG135" s="948"/>
      <c r="TH135" s="948"/>
      <c r="TI135" s="948"/>
      <c r="TJ135" s="948"/>
      <c r="TK135" s="948"/>
      <c r="TL135" s="948"/>
      <c r="TM135" s="948"/>
      <c r="TN135" s="948"/>
      <c r="TO135" s="948"/>
      <c r="TP135" s="948"/>
      <c r="TQ135" s="948"/>
      <c r="TR135" s="948"/>
      <c r="TS135" s="948"/>
      <c r="TT135" s="948"/>
      <c r="TU135" s="948"/>
      <c r="TV135" s="948"/>
      <c r="TW135" s="948"/>
      <c r="TX135" s="948"/>
      <c r="TY135" s="948"/>
      <c r="TZ135" s="948"/>
      <c r="UA135" s="948"/>
      <c r="UB135" s="948"/>
      <c r="UC135" s="948"/>
      <c r="UD135" s="948"/>
      <c r="UE135" s="948"/>
      <c r="UF135" s="948"/>
      <c r="UG135" s="948"/>
      <c r="UH135" s="948"/>
      <c r="UI135" s="948"/>
      <c r="UJ135" s="948"/>
      <c r="UK135" s="948"/>
      <c r="UL135" s="948"/>
      <c r="UM135" s="948"/>
      <c r="UN135" s="948"/>
      <c r="UO135" s="948"/>
      <c r="UP135" s="948"/>
      <c r="UQ135" s="948"/>
      <c r="UR135" s="948"/>
      <c r="US135" s="948"/>
      <c r="UT135" s="948"/>
      <c r="UU135" s="948"/>
      <c r="UV135" s="948"/>
      <c r="UW135" s="948"/>
      <c r="UX135" s="948"/>
      <c r="UY135" s="948"/>
      <c r="UZ135" s="948"/>
      <c r="VA135" s="948"/>
      <c r="VB135" s="948"/>
      <c r="VC135" s="948"/>
      <c r="VD135" s="948"/>
      <c r="VE135" s="948"/>
      <c r="VF135" s="948"/>
      <c r="VG135" s="948"/>
      <c r="VH135" s="948"/>
      <c r="VI135" s="948"/>
      <c r="VJ135" s="948"/>
      <c r="VK135" s="948"/>
      <c r="VL135" s="948"/>
      <c r="VM135" s="948"/>
      <c r="VN135" s="948"/>
      <c r="VO135" s="948"/>
      <c r="VP135" s="948"/>
      <c r="VQ135" s="948"/>
      <c r="VR135" s="948"/>
      <c r="VS135" s="948"/>
      <c r="VT135" s="948"/>
      <c r="VU135" s="948"/>
      <c r="VV135" s="948"/>
      <c r="VW135" s="948"/>
      <c r="VX135" s="948"/>
      <c r="VY135" s="948"/>
      <c r="VZ135" s="948"/>
      <c r="WA135" s="948"/>
      <c r="WB135" s="948"/>
      <c r="WC135" s="948"/>
      <c r="WD135" s="948"/>
      <c r="WE135" s="948"/>
      <c r="WF135" s="948"/>
      <c r="WG135" s="948"/>
      <c r="WH135" s="948"/>
      <c r="WI135" s="948"/>
      <c r="WJ135" s="948"/>
      <c r="WK135" s="948"/>
      <c r="WL135" s="948"/>
      <c r="WM135" s="948"/>
      <c r="WN135" s="948"/>
      <c r="WO135" s="948"/>
      <c r="WP135" s="948"/>
      <c r="WQ135" s="948"/>
      <c r="WR135" s="948"/>
      <c r="WS135" s="948"/>
      <c r="WT135" s="948"/>
      <c r="WU135" s="948"/>
      <c r="WV135" s="948"/>
      <c r="WW135" s="948"/>
      <c r="WX135" s="948"/>
      <c r="WY135" s="948"/>
      <c r="WZ135" s="948"/>
      <c r="XA135" s="948"/>
      <c r="XB135" s="948"/>
      <c r="XC135" s="948"/>
      <c r="XD135" s="948"/>
      <c r="XE135" s="948"/>
      <c r="XF135" s="948"/>
      <c r="XG135" s="948"/>
      <c r="XH135" s="948"/>
      <c r="XI135" s="948"/>
      <c r="XJ135" s="948"/>
      <c r="XK135" s="948"/>
      <c r="XL135" s="948"/>
      <c r="XM135" s="948"/>
      <c r="XN135" s="948"/>
      <c r="XO135" s="948"/>
      <c r="XP135" s="948"/>
      <c r="XQ135" s="948"/>
      <c r="XR135" s="948"/>
      <c r="XS135" s="948"/>
      <c r="XT135" s="948"/>
      <c r="XU135" s="948"/>
      <c r="XV135" s="948"/>
      <c r="XW135" s="948"/>
      <c r="XX135" s="948"/>
      <c r="XY135" s="948"/>
      <c r="XZ135" s="948"/>
      <c r="YA135" s="948"/>
      <c r="YB135" s="948"/>
      <c r="YC135" s="948"/>
      <c r="YD135" s="948"/>
      <c r="YE135" s="948"/>
      <c r="YF135" s="948"/>
      <c r="YG135" s="948"/>
      <c r="YH135" s="948"/>
      <c r="YI135" s="948"/>
      <c r="YJ135" s="948"/>
      <c r="YK135" s="948"/>
      <c r="YL135" s="948"/>
      <c r="YM135" s="948"/>
      <c r="YN135" s="948"/>
      <c r="YO135" s="948"/>
      <c r="YP135" s="948"/>
      <c r="YQ135" s="948"/>
      <c r="YR135" s="948"/>
      <c r="YS135" s="948"/>
      <c r="YT135" s="948"/>
      <c r="YU135" s="948"/>
      <c r="YV135" s="948"/>
      <c r="YW135" s="948"/>
      <c r="YX135" s="948"/>
      <c r="YY135" s="948"/>
      <c r="YZ135" s="948"/>
      <c r="ZA135" s="948"/>
      <c r="ZB135" s="948"/>
      <c r="ZC135" s="948"/>
      <c r="ZD135" s="948"/>
      <c r="ZE135" s="948"/>
      <c r="ZF135" s="948"/>
      <c r="ZG135" s="948"/>
      <c r="ZH135" s="948"/>
      <c r="ZI135" s="948"/>
      <c r="ZJ135" s="948"/>
      <c r="ZK135" s="948"/>
      <c r="ZL135" s="948"/>
      <c r="ZM135" s="948"/>
      <c r="ZN135" s="948"/>
      <c r="ZO135" s="948"/>
      <c r="ZP135" s="948"/>
      <c r="ZQ135" s="948"/>
      <c r="ZR135" s="948"/>
      <c r="ZS135" s="948"/>
      <c r="ZT135" s="948"/>
      <c r="ZU135" s="948"/>
      <c r="ZV135" s="948"/>
      <c r="ZW135" s="948"/>
      <c r="ZX135" s="948"/>
      <c r="ZY135" s="948"/>
      <c r="ZZ135" s="948"/>
      <c r="AAA135" s="948"/>
      <c r="AAB135" s="948"/>
      <c r="AAC135" s="948"/>
      <c r="AAD135" s="948"/>
      <c r="AAE135" s="948"/>
      <c r="AAF135" s="948"/>
      <c r="AAG135" s="948"/>
      <c r="AAH135" s="948"/>
      <c r="AAI135" s="948"/>
      <c r="AAJ135" s="948"/>
      <c r="AAK135" s="948"/>
      <c r="AAL135" s="948"/>
      <c r="AAM135" s="948"/>
      <c r="AAN135" s="948"/>
      <c r="AAO135" s="948"/>
      <c r="AAP135" s="948"/>
      <c r="AAQ135" s="948"/>
      <c r="AAR135" s="948"/>
      <c r="AAS135" s="948"/>
      <c r="AAT135" s="948"/>
      <c r="AAU135" s="948"/>
      <c r="AAV135" s="948"/>
      <c r="AAW135" s="948"/>
      <c r="AAX135" s="948"/>
      <c r="AAY135" s="948"/>
      <c r="AAZ135" s="948"/>
      <c r="ABA135" s="948"/>
      <c r="ABB135" s="948"/>
      <c r="ABC135" s="948"/>
      <c r="ABD135" s="948"/>
      <c r="ABE135" s="948"/>
      <c r="ABF135" s="948"/>
      <c r="ABG135" s="948"/>
      <c r="ABH135" s="948"/>
      <c r="ABI135" s="948"/>
      <c r="ABJ135" s="948"/>
      <c r="ABK135" s="948"/>
      <c r="ABL135" s="948"/>
      <c r="ABM135" s="948"/>
      <c r="ABN135" s="948"/>
      <c r="ABO135" s="948"/>
      <c r="ABP135" s="948"/>
      <c r="ABQ135" s="948"/>
      <c r="ABR135" s="948"/>
      <c r="ABS135" s="948"/>
      <c r="ABT135" s="948"/>
      <c r="ABU135" s="948"/>
      <c r="ABV135" s="948"/>
      <c r="ABW135" s="948"/>
      <c r="ABX135" s="948"/>
      <c r="ABY135" s="948"/>
      <c r="ABZ135" s="948"/>
      <c r="ACA135" s="948"/>
      <c r="ACB135" s="948"/>
      <c r="ACC135" s="948"/>
      <c r="ACD135" s="948"/>
      <c r="ACE135" s="948"/>
      <c r="ACF135" s="948"/>
      <c r="ACG135" s="948"/>
      <c r="ACH135" s="948"/>
      <c r="ACI135" s="948"/>
      <c r="ACJ135" s="948"/>
      <c r="ACK135" s="948"/>
      <c r="ACL135" s="948"/>
      <c r="ACM135" s="948"/>
      <c r="ACN135" s="948"/>
      <c r="ACO135" s="948"/>
      <c r="ACP135" s="948"/>
      <c r="ACQ135" s="948"/>
      <c r="ACR135" s="948"/>
      <c r="ACS135" s="948"/>
      <c r="ACT135" s="948"/>
      <c r="ACU135" s="948"/>
      <c r="ACV135" s="948"/>
      <c r="ACW135" s="948"/>
      <c r="ACX135" s="948"/>
      <c r="ACY135" s="948"/>
      <c r="ACZ135" s="948"/>
      <c r="ADA135" s="948"/>
      <c r="ADB135" s="948"/>
      <c r="ADC135" s="948"/>
      <c r="ADD135" s="948"/>
      <c r="ADE135" s="948"/>
      <c r="ADF135" s="948"/>
      <c r="ADG135" s="948"/>
      <c r="ADH135" s="948"/>
      <c r="ADI135" s="948"/>
      <c r="ADJ135" s="948"/>
      <c r="ADK135" s="948"/>
      <c r="ADL135" s="948"/>
      <c r="ADM135" s="948"/>
      <c r="ADN135" s="948"/>
      <c r="ADO135" s="948"/>
      <c r="ADP135" s="948"/>
      <c r="ADQ135" s="948"/>
      <c r="ADR135" s="948"/>
      <c r="ADS135" s="948"/>
      <c r="ADT135" s="948"/>
      <c r="ADU135" s="948"/>
      <c r="ADV135" s="948"/>
      <c r="ADW135" s="948"/>
      <c r="ADX135" s="948"/>
      <c r="ADY135" s="948"/>
      <c r="ADZ135" s="948"/>
      <c r="AEA135" s="948"/>
      <c r="AEB135" s="948"/>
      <c r="AEC135" s="948"/>
      <c r="AED135" s="948"/>
      <c r="AEE135" s="948"/>
      <c r="AEF135" s="948"/>
      <c r="AEG135" s="948"/>
      <c r="AEH135" s="948"/>
      <c r="AEI135" s="948"/>
      <c r="AEJ135" s="948"/>
      <c r="AEK135" s="948"/>
      <c r="AEL135" s="948"/>
      <c r="AEM135" s="948"/>
      <c r="AEN135" s="948"/>
      <c r="AEO135" s="948"/>
      <c r="AEP135" s="948"/>
      <c r="AEQ135" s="948"/>
      <c r="AER135" s="948"/>
      <c r="AES135" s="948"/>
      <c r="AET135" s="948"/>
      <c r="AEU135" s="948"/>
      <c r="AEV135" s="948"/>
      <c r="AEW135" s="948"/>
      <c r="AEX135" s="948"/>
      <c r="AEY135" s="948"/>
      <c r="AEZ135" s="948"/>
      <c r="AFA135" s="948"/>
      <c r="AFB135" s="948"/>
      <c r="AFC135" s="948"/>
      <c r="AFD135" s="948"/>
      <c r="AFE135" s="948"/>
      <c r="AFF135" s="948"/>
      <c r="AFG135" s="948"/>
      <c r="AFH135" s="948"/>
      <c r="AFI135" s="948"/>
      <c r="AFJ135" s="948"/>
      <c r="AFK135" s="948"/>
      <c r="AFL135" s="948"/>
      <c r="AFM135" s="948"/>
      <c r="AFN135" s="948"/>
      <c r="AFO135" s="948"/>
      <c r="AFP135" s="948"/>
      <c r="AFQ135" s="948"/>
      <c r="AFR135" s="948"/>
      <c r="AFS135" s="948"/>
      <c r="AFT135" s="948"/>
      <c r="AFU135" s="948"/>
      <c r="AFV135" s="948"/>
      <c r="AFW135" s="948"/>
      <c r="AFX135" s="948"/>
      <c r="AFY135" s="948"/>
      <c r="AFZ135" s="948"/>
      <c r="AGA135" s="948"/>
      <c r="AGB135" s="948"/>
      <c r="AGC135" s="948"/>
      <c r="AGD135" s="948"/>
      <c r="AGE135" s="948"/>
      <c r="AGF135" s="948"/>
      <c r="AGG135" s="948"/>
      <c r="AGH135" s="948"/>
      <c r="AGI135" s="948"/>
      <c r="AGJ135" s="948"/>
      <c r="AGK135" s="948"/>
      <c r="AGL135" s="948"/>
      <c r="AGM135" s="948"/>
      <c r="AGN135" s="948"/>
      <c r="AGO135" s="948"/>
      <c r="AGP135" s="948"/>
      <c r="AGQ135" s="948"/>
      <c r="AGR135" s="948"/>
      <c r="AGS135" s="948"/>
      <c r="AGT135" s="948"/>
      <c r="AGU135" s="948"/>
      <c r="AGV135" s="948"/>
      <c r="AGW135" s="948"/>
      <c r="AGX135" s="948"/>
      <c r="AGY135" s="948"/>
      <c r="AGZ135" s="948"/>
      <c r="AHA135" s="948"/>
      <c r="AHB135" s="948"/>
      <c r="AHC135" s="948"/>
      <c r="AHD135" s="948"/>
      <c r="AHE135" s="948"/>
      <c r="AHF135" s="948"/>
      <c r="AHG135" s="948"/>
      <c r="AHH135" s="948"/>
      <c r="AHI135" s="948"/>
      <c r="AHJ135" s="948"/>
      <c r="AHK135" s="948"/>
      <c r="AHL135" s="948"/>
      <c r="AHM135" s="948"/>
      <c r="AHN135" s="948"/>
      <c r="AHO135" s="948"/>
      <c r="AHP135" s="948"/>
      <c r="AHQ135" s="948"/>
      <c r="AHR135" s="948"/>
      <c r="AHS135" s="948"/>
      <c r="AHT135" s="948"/>
      <c r="AHU135" s="948"/>
      <c r="AHV135" s="948"/>
      <c r="AHW135" s="948"/>
      <c r="AHX135" s="948"/>
      <c r="AHY135" s="948"/>
      <c r="AHZ135" s="948"/>
      <c r="AIA135" s="948"/>
      <c r="AIB135" s="948"/>
      <c r="AIC135" s="948"/>
      <c r="AID135" s="948"/>
      <c r="AIE135" s="948"/>
      <c r="AIF135" s="948"/>
      <c r="AIG135" s="948"/>
      <c r="AIH135" s="948"/>
      <c r="AII135" s="948"/>
      <c r="AIJ135" s="948"/>
      <c r="AIK135" s="948"/>
      <c r="AIL135" s="948"/>
      <c r="AIM135" s="948"/>
      <c r="AIN135" s="948"/>
      <c r="AIO135" s="948"/>
      <c r="AIP135" s="948"/>
      <c r="AIQ135" s="948"/>
      <c r="AIR135" s="948"/>
      <c r="AIS135" s="948"/>
      <c r="AIT135" s="948"/>
      <c r="AIU135" s="948"/>
      <c r="AIV135" s="948"/>
      <c r="AIW135" s="948"/>
      <c r="AIX135" s="948"/>
      <c r="AIY135" s="948"/>
      <c r="AIZ135" s="948"/>
      <c r="AJA135" s="948"/>
      <c r="AJB135" s="948"/>
      <c r="AJC135" s="948"/>
      <c r="AJD135" s="948"/>
      <c r="AJE135" s="948"/>
      <c r="AJF135" s="948"/>
      <c r="AJG135" s="948"/>
      <c r="AJH135" s="948"/>
      <c r="AJI135" s="948"/>
      <c r="AJJ135" s="948"/>
      <c r="AJK135" s="948"/>
      <c r="AJL135" s="948"/>
      <c r="AJM135" s="948"/>
      <c r="AJN135" s="948"/>
      <c r="AJO135" s="948"/>
      <c r="AJP135" s="948"/>
      <c r="AJQ135" s="948"/>
      <c r="AJR135" s="948"/>
      <c r="AJS135" s="948"/>
      <c r="AJT135" s="948"/>
      <c r="AJU135" s="948"/>
      <c r="AJV135" s="948"/>
      <c r="AJW135" s="948"/>
      <c r="AJX135" s="948"/>
      <c r="AJY135" s="948"/>
      <c r="AJZ135" s="948"/>
      <c r="AKA135" s="948"/>
      <c r="AKB135" s="948"/>
      <c r="AKC135" s="948"/>
      <c r="AKD135" s="948"/>
      <c r="AKE135" s="948"/>
      <c r="AKF135" s="948"/>
      <c r="AKG135" s="948"/>
      <c r="AKH135" s="948"/>
      <c r="AKI135" s="948"/>
      <c r="AKJ135" s="948"/>
      <c r="AKK135" s="948"/>
      <c r="AKL135" s="948"/>
      <c r="AKM135" s="948"/>
      <c r="AKN135" s="948"/>
      <c r="AKO135" s="948"/>
      <c r="AKP135" s="948"/>
      <c r="AKQ135" s="948"/>
      <c r="AKR135" s="948"/>
      <c r="AKS135" s="948"/>
      <c r="AKT135" s="948"/>
      <c r="AKU135" s="948"/>
      <c r="AKV135" s="948"/>
      <c r="AKW135" s="948"/>
      <c r="AKX135" s="948"/>
      <c r="AKY135" s="948"/>
      <c r="AKZ135" s="948"/>
      <c r="ALA135" s="948"/>
      <c r="ALB135" s="948"/>
      <c r="ALC135" s="948"/>
      <c r="ALD135" s="948"/>
      <c r="ALE135" s="948"/>
      <c r="ALF135" s="948"/>
      <c r="ALG135" s="948"/>
      <c r="ALH135" s="948"/>
      <c r="ALI135" s="948"/>
      <c r="ALJ135" s="948"/>
      <c r="ALK135" s="948"/>
      <c r="ALL135" s="948"/>
      <c r="ALM135" s="948"/>
      <c r="ALN135" s="948"/>
      <c r="ALO135" s="948"/>
      <c r="ALP135" s="948"/>
      <c r="ALQ135" s="948"/>
      <c r="ALR135" s="948"/>
      <c r="ALS135" s="948"/>
      <c r="ALT135" s="948"/>
      <c r="ALU135" s="948"/>
      <c r="ALV135" s="948"/>
      <c r="ALW135" s="948"/>
      <c r="ALX135" s="948"/>
      <c r="ALY135" s="948"/>
      <c r="ALZ135" s="948"/>
      <c r="AMA135" s="948"/>
      <c r="AMB135" s="948"/>
      <c r="AMC135" s="948"/>
      <c r="AMD135" s="948"/>
      <c r="AME135" s="948"/>
      <c r="AMF135" s="948"/>
      <c r="AMG135" s="948"/>
      <c r="AMH135" s="948"/>
      <c r="AMI135" s="948"/>
      <c r="AMJ135" s="948"/>
      <c r="AMK135" s="948"/>
      <c r="AML135" s="948"/>
    </row>
    <row r="136" spans="1:1026" ht="36.75" customHeight="1" outlineLevel="1">
      <c r="A136" s="844"/>
      <c r="B136" s="891" t="s">
        <v>318</v>
      </c>
      <c r="C136" s="891" t="s">
        <v>319</v>
      </c>
      <c r="D136" s="450" t="s">
        <v>320</v>
      </c>
      <c r="E136" s="891" t="s">
        <v>27</v>
      </c>
      <c r="F136" s="881">
        <f ca="1">Acabamentos!D112</f>
        <v>87.96</v>
      </c>
      <c r="G136" s="893">
        <f t="shared" si="20"/>
        <v>15.55</v>
      </c>
      <c r="H136" s="883">
        <f t="shared" ca="1" si="21"/>
        <v>1367.778</v>
      </c>
      <c r="I136" s="844"/>
      <c r="J136" s="841">
        <v>12.28</v>
      </c>
      <c r="K136" s="842">
        <f>ROUND(J136*(1+$H$14),2)</f>
        <v>15.55</v>
      </c>
    </row>
    <row r="137" spans="1:1026" ht="24.75" customHeight="1" outlineLevel="1">
      <c r="A137" s="844"/>
      <c r="B137" s="891" t="s">
        <v>321</v>
      </c>
      <c r="C137" s="891" t="s">
        <v>322</v>
      </c>
      <c r="D137" s="450" t="s">
        <v>323</v>
      </c>
      <c r="E137" s="891" t="s">
        <v>38</v>
      </c>
      <c r="F137" s="881">
        <f ca="1">Acabamentos!D111</f>
        <v>172.11</v>
      </c>
      <c r="G137" s="893">
        <f t="shared" si="20"/>
        <v>41.21</v>
      </c>
      <c r="H137" s="883">
        <f t="shared" ca="1" si="21"/>
        <v>7092.6531000000004</v>
      </c>
      <c r="I137" s="844"/>
      <c r="J137" s="841">
        <v>32.549999999999997</v>
      </c>
      <c r="K137" s="842">
        <f>ROUND(J137*(1+$H$14),2)</f>
        <v>41.21</v>
      </c>
    </row>
    <row r="138" spans="1:1026" ht="24.95" customHeight="1" outlineLevel="1">
      <c r="A138" s="844"/>
      <c r="B138" s="891" t="s">
        <v>324</v>
      </c>
      <c r="C138" s="891" t="s">
        <v>325</v>
      </c>
      <c r="D138" s="450" t="s">
        <v>326</v>
      </c>
      <c r="E138" s="444" t="s">
        <v>38</v>
      </c>
      <c r="F138" s="881">
        <f>'BANCADAS E SOLEIRAS'!F39</f>
        <v>110.99</v>
      </c>
      <c r="G138" s="893">
        <f t="shared" si="20"/>
        <v>44.73</v>
      </c>
      <c r="H138" s="883">
        <f t="shared" si="21"/>
        <v>4964.582699999999</v>
      </c>
      <c r="I138" s="844"/>
      <c r="J138" s="841">
        <v>35.33</v>
      </c>
      <c r="K138" s="842">
        <f>ROUND(J138*(1+$H$14),2)</f>
        <v>44.73</v>
      </c>
    </row>
    <row r="139" spans="1:1026" ht="35.1" customHeight="1" outlineLevel="1">
      <c r="A139" s="844"/>
      <c r="B139" s="891" t="s">
        <v>327</v>
      </c>
      <c r="C139" s="886" t="s">
        <v>328</v>
      </c>
      <c r="D139" s="448" t="s">
        <v>329</v>
      </c>
      <c r="E139" s="449" t="s">
        <v>38</v>
      </c>
      <c r="F139" s="887">
        <f>'BANCADAS E SOLEIRAS'!C84</f>
        <v>5.05</v>
      </c>
      <c r="G139" s="893">
        <f t="shared" ref="G139" si="22">K139</f>
        <v>149.94</v>
      </c>
      <c r="H139" s="883">
        <f t="shared" ref="H139" si="23">F139*G139</f>
        <v>757.197</v>
      </c>
      <c r="I139" s="844"/>
      <c r="J139" s="841">
        <v>118.43</v>
      </c>
      <c r="K139" s="842">
        <f t="shared" ref="K139" si="24">ROUND(J139*(1+$H$14),2)</f>
        <v>149.94</v>
      </c>
    </row>
    <row r="140" spans="1:1026" s="826" customFormat="1" ht="24.95" customHeight="1" outlineLevel="1">
      <c r="A140" s="900"/>
      <c r="B140" s="921">
        <v>15</v>
      </c>
      <c r="C140" s="907"/>
      <c r="D140" s="922" t="s">
        <v>330</v>
      </c>
      <c r="E140" s="418"/>
      <c r="F140" s="903"/>
      <c r="G140" s="904"/>
      <c r="H140" s="905"/>
      <c r="I140" s="900"/>
      <c r="J140" s="917"/>
      <c r="K140" s="918"/>
      <c r="L140" s="834"/>
      <c r="M140" s="834"/>
      <c r="N140" s="834"/>
      <c r="O140" s="834"/>
      <c r="P140" s="834"/>
      <c r="Q140" s="834"/>
      <c r="R140" s="834"/>
      <c r="S140" s="834"/>
      <c r="T140" s="834"/>
      <c r="U140" s="834"/>
      <c r="V140" s="834"/>
      <c r="W140" s="834"/>
      <c r="X140" s="834"/>
      <c r="Y140" s="834"/>
      <c r="Z140" s="834"/>
      <c r="AA140" s="834"/>
      <c r="AB140" s="834"/>
      <c r="AC140" s="834"/>
      <c r="AD140" s="834"/>
      <c r="AE140" s="834"/>
      <c r="AF140" s="834"/>
      <c r="AG140" s="834"/>
      <c r="AH140" s="834"/>
      <c r="AI140" s="834"/>
      <c r="AJ140" s="834"/>
      <c r="AK140" s="834"/>
      <c r="AL140" s="834"/>
      <c r="AM140" s="834"/>
      <c r="AN140" s="834"/>
      <c r="AO140" s="834"/>
      <c r="AP140" s="834"/>
      <c r="AQ140" s="834"/>
      <c r="AR140" s="834"/>
      <c r="AS140" s="834"/>
      <c r="AT140" s="834"/>
      <c r="AU140" s="834"/>
      <c r="AV140" s="834"/>
      <c r="AW140" s="834"/>
      <c r="AX140" s="834"/>
      <c r="AY140" s="834"/>
      <c r="AZ140" s="834"/>
      <c r="BA140" s="834"/>
      <c r="BB140" s="834"/>
      <c r="BC140" s="834"/>
      <c r="BD140" s="834"/>
      <c r="BE140" s="834"/>
      <c r="BF140" s="834"/>
      <c r="BG140" s="834"/>
      <c r="BH140" s="834"/>
      <c r="BI140" s="834"/>
      <c r="BJ140" s="834"/>
      <c r="BK140" s="834"/>
      <c r="BL140" s="834"/>
      <c r="BM140" s="834"/>
      <c r="BN140" s="834"/>
      <c r="BO140" s="834"/>
      <c r="BP140" s="834"/>
      <c r="BQ140" s="834"/>
      <c r="BR140" s="834"/>
      <c r="BS140" s="834"/>
      <c r="BT140" s="834"/>
      <c r="BU140" s="834"/>
      <c r="BV140" s="834"/>
      <c r="BW140" s="834"/>
      <c r="BX140" s="834"/>
      <c r="BY140" s="834"/>
      <c r="BZ140" s="834"/>
      <c r="CA140" s="834"/>
      <c r="CB140" s="834"/>
      <c r="CC140" s="834"/>
      <c r="CD140" s="834"/>
      <c r="CE140" s="834"/>
      <c r="CF140" s="834"/>
      <c r="CG140" s="834"/>
      <c r="CH140" s="834"/>
      <c r="CI140" s="834"/>
      <c r="CJ140" s="834"/>
      <c r="CK140" s="834"/>
      <c r="CL140" s="834"/>
      <c r="CM140" s="834"/>
      <c r="CN140" s="834"/>
      <c r="CO140" s="834"/>
      <c r="CP140" s="834"/>
      <c r="CQ140" s="834"/>
      <c r="CR140" s="834"/>
      <c r="CS140" s="834"/>
      <c r="CT140" s="834"/>
      <c r="CU140" s="834"/>
      <c r="CV140" s="834"/>
      <c r="CW140" s="834"/>
      <c r="CX140" s="834"/>
      <c r="CY140" s="834"/>
      <c r="CZ140" s="834"/>
      <c r="DA140" s="834"/>
      <c r="DB140" s="834"/>
      <c r="DC140" s="834"/>
      <c r="DD140" s="834"/>
      <c r="DE140" s="834"/>
      <c r="DF140" s="834"/>
      <c r="DG140" s="834"/>
      <c r="DH140" s="834"/>
      <c r="DI140" s="834"/>
      <c r="DJ140" s="834"/>
      <c r="DK140" s="834"/>
      <c r="DL140" s="834"/>
      <c r="DM140" s="834"/>
      <c r="DN140" s="834"/>
      <c r="DO140" s="834"/>
      <c r="DP140" s="834"/>
      <c r="DQ140" s="834"/>
      <c r="DR140" s="834"/>
      <c r="DS140" s="834"/>
      <c r="DT140" s="834"/>
      <c r="DU140" s="834"/>
      <c r="DV140" s="834"/>
      <c r="DW140" s="834"/>
      <c r="DX140" s="834"/>
      <c r="DY140" s="834"/>
      <c r="DZ140" s="834"/>
      <c r="EA140" s="834"/>
      <c r="EB140" s="834"/>
      <c r="EC140" s="834"/>
      <c r="ED140" s="834"/>
      <c r="EE140" s="834"/>
      <c r="EF140" s="834"/>
      <c r="EG140" s="834"/>
      <c r="EH140" s="834"/>
      <c r="EI140" s="834"/>
      <c r="EJ140" s="834"/>
      <c r="EK140" s="834"/>
      <c r="EL140" s="834"/>
      <c r="EM140" s="834"/>
      <c r="EN140" s="834"/>
      <c r="EO140" s="834"/>
      <c r="EP140" s="834"/>
      <c r="EQ140" s="834"/>
      <c r="ER140" s="834"/>
      <c r="ES140" s="834"/>
      <c r="ET140" s="834"/>
      <c r="EU140" s="834"/>
      <c r="EV140" s="834"/>
      <c r="EW140" s="834"/>
      <c r="EX140" s="834"/>
      <c r="EY140" s="834"/>
      <c r="EZ140" s="834"/>
      <c r="FA140" s="834"/>
      <c r="FB140" s="834"/>
      <c r="FC140" s="834"/>
      <c r="FD140" s="834"/>
      <c r="FE140" s="834"/>
      <c r="FF140" s="834"/>
      <c r="FG140" s="834"/>
      <c r="FH140" s="834"/>
      <c r="FI140" s="834"/>
      <c r="FJ140" s="834"/>
      <c r="FK140" s="834"/>
      <c r="FL140" s="834"/>
      <c r="FM140" s="834"/>
      <c r="FN140" s="834"/>
      <c r="FO140" s="834"/>
      <c r="FP140" s="834"/>
      <c r="FQ140" s="834"/>
      <c r="FR140" s="834"/>
      <c r="FS140" s="834"/>
      <c r="FT140" s="834"/>
      <c r="FU140" s="834"/>
      <c r="FV140" s="834"/>
      <c r="FW140" s="834"/>
      <c r="FX140" s="834"/>
      <c r="FY140" s="834"/>
      <c r="FZ140" s="834"/>
      <c r="GA140" s="834"/>
      <c r="GB140" s="834"/>
      <c r="GC140" s="834"/>
      <c r="GD140" s="834"/>
      <c r="GE140" s="834"/>
      <c r="GF140" s="834"/>
      <c r="GG140" s="834"/>
      <c r="GH140" s="834"/>
      <c r="GI140" s="834"/>
      <c r="GJ140" s="834"/>
      <c r="GK140" s="834"/>
      <c r="GL140" s="834"/>
      <c r="GM140" s="834"/>
      <c r="GN140" s="834"/>
      <c r="GO140" s="834"/>
      <c r="GP140" s="834"/>
      <c r="GQ140" s="834"/>
      <c r="GR140" s="834"/>
      <c r="GS140" s="834"/>
      <c r="GT140" s="834"/>
      <c r="GU140" s="834"/>
      <c r="GV140" s="834"/>
      <c r="GW140" s="834"/>
      <c r="GX140" s="834"/>
      <c r="GY140" s="834"/>
      <c r="GZ140" s="834"/>
      <c r="HA140" s="834"/>
      <c r="HB140" s="834"/>
      <c r="HC140" s="834"/>
      <c r="HD140" s="834"/>
      <c r="HE140" s="834"/>
      <c r="HF140" s="834"/>
      <c r="HG140" s="834"/>
      <c r="HH140" s="834"/>
      <c r="HI140" s="834"/>
      <c r="HJ140" s="834"/>
      <c r="HK140" s="834"/>
      <c r="HL140" s="834"/>
      <c r="HM140" s="834"/>
      <c r="HN140" s="834"/>
      <c r="HO140" s="834"/>
      <c r="HP140" s="834"/>
      <c r="HQ140" s="834"/>
      <c r="HR140" s="834"/>
      <c r="HS140" s="834"/>
      <c r="HT140" s="834"/>
      <c r="HU140" s="834"/>
      <c r="HV140" s="834"/>
      <c r="HW140" s="834"/>
      <c r="HX140" s="834"/>
      <c r="HY140" s="834"/>
      <c r="HZ140" s="834"/>
      <c r="IA140" s="834"/>
      <c r="IB140" s="834"/>
      <c r="IC140" s="834"/>
      <c r="ID140" s="834"/>
      <c r="IE140" s="834"/>
      <c r="IF140" s="834"/>
      <c r="IG140" s="834"/>
      <c r="IH140" s="834"/>
      <c r="II140" s="834"/>
      <c r="IJ140" s="834"/>
      <c r="IK140" s="834"/>
      <c r="IL140" s="834"/>
      <c r="IM140" s="834"/>
      <c r="IN140" s="834"/>
      <c r="IO140" s="834"/>
      <c r="IP140" s="834"/>
      <c r="IQ140" s="834"/>
      <c r="IR140" s="834"/>
      <c r="IS140" s="834"/>
      <c r="IT140" s="834"/>
      <c r="IU140" s="834"/>
      <c r="IV140" s="834"/>
      <c r="IW140" s="834"/>
      <c r="IX140" s="834"/>
      <c r="IY140" s="834"/>
      <c r="IZ140" s="834"/>
      <c r="JA140" s="834"/>
      <c r="JB140" s="834"/>
      <c r="JC140" s="834"/>
      <c r="JD140" s="834"/>
      <c r="JE140" s="834"/>
      <c r="JF140" s="834"/>
      <c r="JG140" s="834"/>
      <c r="JH140" s="834"/>
      <c r="JI140" s="834"/>
      <c r="JJ140" s="834"/>
      <c r="JK140" s="834"/>
      <c r="JL140" s="834"/>
      <c r="JM140" s="834"/>
      <c r="JN140" s="834"/>
      <c r="JO140" s="834"/>
      <c r="JP140" s="834"/>
      <c r="JQ140" s="834"/>
      <c r="JR140" s="834"/>
      <c r="JS140" s="834"/>
      <c r="JT140" s="834"/>
      <c r="JU140" s="834"/>
      <c r="JV140" s="834"/>
      <c r="JW140" s="834"/>
      <c r="JX140" s="834"/>
      <c r="JY140" s="834"/>
      <c r="JZ140" s="834"/>
      <c r="KA140" s="834"/>
      <c r="KB140" s="834"/>
      <c r="KC140" s="834"/>
      <c r="KD140" s="834"/>
      <c r="KE140" s="834"/>
      <c r="KF140" s="834"/>
      <c r="KG140" s="834"/>
      <c r="KH140" s="834"/>
      <c r="KI140" s="834"/>
      <c r="KJ140" s="834"/>
      <c r="KK140" s="834"/>
      <c r="KL140" s="834"/>
      <c r="KM140" s="834"/>
      <c r="KN140" s="834"/>
      <c r="KO140" s="834"/>
      <c r="KP140" s="834"/>
      <c r="KQ140" s="834"/>
      <c r="KR140" s="834"/>
      <c r="KS140" s="834"/>
      <c r="KT140" s="834"/>
      <c r="KU140" s="834"/>
      <c r="KV140" s="834"/>
      <c r="KW140" s="834"/>
      <c r="KX140" s="834"/>
      <c r="KY140" s="834"/>
      <c r="KZ140" s="834"/>
      <c r="LA140" s="834"/>
      <c r="LB140" s="834"/>
      <c r="LC140" s="834"/>
      <c r="LD140" s="834"/>
      <c r="LE140" s="834"/>
      <c r="LF140" s="834"/>
      <c r="LG140" s="834"/>
      <c r="LH140" s="834"/>
      <c r="LI140" s="834"/>
      <c r="LJ140" s="834"/>
      <c r="LK140" s="834"/>
      <c r="LL140" s="834"/>
      <c r="LM140" s="834"/>
      <c r="LN140" s="834"/>
      <c r="LO140" s="834"/>
      <c r="LP140" s="834"/>
      <c r="LQ140" s="834"/>
      <c r="LR140" s="834"/>
      <c r="LS140" s="834"/>
      <c r="LT140" s="834"/>
      <c r="LU140" s="834"/>
      <c r="LV140" s="834"/>
      <c r="LW140" s="834"/>
      <c r="LX140" s="834"/>
      <c r="LY140" s="834"/>
      <c r="LZ140" s="834"/>
      <c r="MA140" s="834"/>
      <c r="MB140" s="834"/>
      <c r="MC140" s="834"/>
      <c r="MD140" s="834"/>
      <c r="ME140" s="834"/>
      <c r="MF140" s="834"/>
      <c r="MG140" s="834"/>
      <c r="MH140" s="834"/>
      <c r="MI140" s="834"/>
      <c r="MJ140" s="834"/>
      <c r="MK140" s="834"/>
      <c r="ML140" s="834"/>
      <c r="MM140" s="834"/>
      <c r="MN140" s="834"/>
      <c r="MO140" s="834"/>
      <c r="MP140" s="834"/>
      <c r="MQ140" s="834"/>
      <c r="MR140" s="834"/>
      <c r="MS140" s="834"/>
      <c r="MT140" s="834"/>
      <c r="MU140" s="834"/>
      <c r="MV140" s="834"/>
      <c r="MW140" s="834"/>
      <c r="MX140" s="834"/>
      <c r="MY140" s="834"/>
      <c r="MZ140" s="834"/>
      <c r="NA140" s="834"/>
      <c r="NB140" s="834"/>
      <c r="NC140" s="834"/>
      <c r="ND140" s="834"/>
      <c r="NE140" s="834"/>
      <c r="NF140" s="834"/>
      <c r="NG140" s="834"/>
      <c r="NH140" s="834"/>
      <c r="NI140" s="834"/>
      <c r="NJ140" s="834"/>
      <c r="NK140" s="834"/>
      <c r="NL140" s="834"/>
      <c r="NM140" s="834"/>
      <c r="NN140" s="834"/>
      <c r="NO140" s="834"/>
      <c r="NP140" s="834"/>
      <c r="NQ140" s="834"/>
      <c r="NR140" s="834"/>
      <c r="NS140" s="834"/>
      <c r="NT140" s="834"/>
      <c r="NU140" s="834"/>
      <c r="NV140" s="834"/>
      <c r="NW140" s="834"/>
      <c r="NX140" s="834"/>
      <c r="NY140" s="834"/>
      <c r="NZ140" s="834"/>
      <c r="OA140" s="834"/>
      <c r="OB140" s="834"/>
      <c r="OC140" s="834"/>
      <c r="OD140" s="834"/>
      <c r="OE140" s="834"/>
      <c r="OF140" s="834"/>
      <c r="OG140" s="834"/>
      <c r="OH140" s="834"/>
      <c r="OI140" s="834"/>
      <c r="OJ140" s="834"/>
      <c r="OK140" s="834"/>
      <c r="OL140" s="834"/>
      <c r="OM140" s="834"/>
      <c r="ON140" s="834"/>
      <c r="OO140" s="834"/>
      <c r="OP140" s="834"/>
      <c r="OQ140" s="834"/>
      <c r="OR140" s="834"/>
      <c r="OS140" s="834"/>
      <c r="OT140" s="834"/>
      <c r="OU140" s="834"/>
      <c r="OV140" s="834"/>
      <c r="OW140" s="834"/>
      <c r="OX140" s="834"/>
      <c r="OY140" s="834"/>
      <c r="OZ140" s="834"/>
      <c r="PA140" s="834"/>
      <c r="PB140" s="834"/>
      <c r="PC140" s="834"/>
      <c r="PD140" s="834"/>
      <c r="PE140" s="834"/>
      <c r="PF140" s="834"/>
      <c r="PG140" s="834"/>
      <c r="PH140" s="834"/>
      <c r="PI140" s="834"/>
      <c r="PJ140" s="834"/>
      <c r="PK140" s="834"/>
      <c r="PL140" s="834"/>
      <c r="PM140" s="834"/>
      <c r="PN140" s="834"/>
      <c r="PO140" s="834"/>
      <c r="PP140" s="834"/>
      <c r="PQ140" s="834"/>
      <c r="PR140" s="834"/>
      <c r="PS140" s="834"/>
      <c r="PT140" s="834"/>
      <c r="PU140" s="834"/>
      <c r="PV140" s="834"/>
      <c r="PW140" s="834"/>
      <c r="PX140" s="834"/>
      <c r="PY140" s="834"/>
      <c r="PZ140" s="834"/>
      <c r="QA140" s="834"/>
      <c r="QB140" s="834"/>
      <c r="QC140" s="834"/>
      <c r="QD140" s="834"/>
      <c r="QE140" s="834"/>
      <c r="QF140" s="834"/>
      <c r="QG140" s="834"/>
      <c r="QH140" s="834"/>
      <c r="QI140" s="834"/>
      <c r="QJ140" s="834"/>
      <c r="QK140" s="834"/>
      <c r="QL140" s="834"/>
      <c r="QM140" s="834"/>
      <c r="QN140" s="834"/>
      <c r="QO140" s="834"/>
      <c r="QP140" s="834"/>
      <c r="QQ140" s="834"/>
      <c r="QR140" s="834"/>
      <c r="QS140" s="834"/>
      <c r="QT140" s="834"/>
      <c r="QU140" s="834"/>
      <c r="QV140" s="834"/>
      <c r="QW140" s="834"/>
      <c r="QX140" s="834"/>
      <c r="QY140" s="834"/>
      <c r="QZ140" s="834"/>
      <c r="RA140" s="834"/>
      <c r="RB140" s="834"/>
      <c r="RC140" s="834"/>
      <c r="RD140" s="834"/>
      <c r="RE140" s="834"/>
      <c r="RF140" s="834"/>
      <c r="RG140" s="834"/>
      <c r="RH140" s="834"/>
      <c r="RI140" s="834"/>
      <c r="RJ140" s="834"/>
      <c r="RK140" s="834"/>
      <c r="RL140" s="834"/>
      <c r="RM140" s="834"/>
      <c r="RN140" s="834"/>
      <c r="RO140" s="834"/>
      <c r="RP140" s="834"/>
      <c r="RQ140" s="834"/>
      <c r="RR140" s="834"/>
      <c r="RS140" s="834"/>
      <c r="RT140" s="834"/>
      <c r="RU140" s="834"/>
      <c r="RV140" s="834"/>
      <c r="RW140" s="834"/>
      <c r="RX140" s="834"/>
      <c r="RY140" s="834"/>
      <c r="RZ140" s="834"/>
      <c r="SA140" s="834"/>
      <c r="SB140" s="834"/>
      <c r="SC140" s="834"/>
      <c r="SD140" s="834"/>
      <c r="SE140" s="834"/>
      <c r="SF140" s="834"/>
      <c r="SG140" s="834"/>
      <c r="SH140" s="834"/>
      <c r="SI140" s="834"/>
      <c r="SJ140" s="834"/>
      <c r="SK140" s="834"/>
      <c r="SL140" s="834"/>
      <c r="SM140" s="834"/>
      <c r="SN140" s="834"/>
      <c r="SO140" s="834"/>
      <c r="SP140" s="834"/>
      <c r="SQ140" s="834"/>
      <c r="SR140" s="834"/>
      <c r="SS140" s="834"/>
      <c r="ST140" s="834"/>
      <c r="SU140" s="834"/>
      <c r="SV140" s="834"/>
      <c r="SW140" s="834"/>
      <c r="SX140" s="834"/>
      <c r="SY140" s="834"/>
      <c r="SZ140" s="834"/>
      <c r="TA140" s="834"/>
      <c r="TB140" s="834"/>
      <c r="TC140" s="834"/>
      <c r="TD140" s="834"/>
      <c r="TE140" s="834"/>
      <c r="TF140" s="834"/>
      <c r="TG140" s="834"/>
      <c r="TH140" s="834"/>
      <c r="TI140" s="834"/>
      <c r="TJ140" s="834"/>
      <c r="TK140" s="834"/>
      <c r="TL140" s="834"/>
      <c r="TM140" s="834"/>
      <c r="TN140" s="834"/>
      <c r="TO140" s="834"/>
      <c r="TP140" s="834"/>
      <c r="TQ140" s="834"/>
      <c r="TR140" s="834"/>
      <c r="TS140" s="834"/>
      <c r="TT140" s="834"/>
      <c r="TU140" s="834"/>
      <c r="TV140" s="834"/>
      <c r="TW140" s="834"/>
      <c r="TX140" s="834"/>
      <c r="TY140" s="834"/>
      <c r="TZ140" s="834"/>
      <c r="UA140" s="834"/>
      <c r="UB140" s="834"/>
      <c r="UC140" s="834"/>
      <c r="UD140" s="834"/>
      <c r="UE140" s="834"/>
      <c r="UF140" s="834"/>
      <c r="UG140" s="834"/>
      <c r="UH140" s="834"/>
      <c r="UI140" s="834"/>
      <c r="UJ140" s="834"/>
      <c r="UK140" s="834"/>
      <c r="UL140" s="834"/>
      <c r="UM140" s="834"/>
      <c r="UN140" s="834"/>
      <c r="UO140" s="834"/>
      <c r="UP140" s="834"/>
      <c r="UQ140" s="834"/>
      <c r="UR140" s="834"/>
      <c r="US140" s="834"/>
      <c r="UT140" s="834"/>
      <c r="UU140" s="834"/>
      <c r="UV140" s="834"/>
      <c r="UW140" s="834"/>
      <c r="UX140" s="834"/>
      <c r="UY140" s="834"/>
      <c r="UZ140" s="834"/>
      <c r="VA140" s="834"/>
      <c r="VB140" s="834"/>
      <c r="VC140" s="834"/>
      <c r="VD140" s="834"/>
      <c r="VE140" s="834"/>
      <c r="VF140" s="834"/>
      <c r="VG140" s="834"/>
      <c r="VH140" s="834"/>
      <c r="VI140" s="834"/>
      <c r="VJ140" s="834"/>
      <c r="VK140" s="834"/>
      <c r="VL140" s="834"/>
      <c r="VM140" s="834"/>
      <c r="VN140" s="834"/>
      <c r="VO140" s="834"/>
      <c r="VP140" s="834"/>
      <c r="VQ140" s="834"/>
      <c r="VR140" s="834"/>
      <c r="VS140" s="834"/>
      <c r="VT140" s="834"/>
      <c r="VU140" s="834"/>
      <c r="VV140" s="834"/>
      <c r="VW140" s="834"/>
      <c r="VX140" s="834"/>
      <c r="VY140" s="834"/>
      <c r="VZ140" s="834"/>
      <c r="WA140" s="834"/>
      <c r="WB140" s="834"/>
      <c r="WC140" s="834"/>
      <c r="WD140" s="834"/>
      <c r="WE140" s="834"/>
      <c r="WF140" s="834"/>
      <c r="WG140" s="834"/>
      <c r="WH140" s="834"/>
      <c r="WI140" s="834"/>
      <c r="WJ140" s="834"/>
      <c r="WK140" s="834"/>
      <c r="WL140" s="834"/>
      <c r="WM140" s="834"/>
      <c r="WN140" s="834"/>
      <c r="WO140" s="834"/>
      <c r="WP140" s="834"/>
      <c r="WQ140" s="834"/>
      <c r="WR140" s="834"/>
      <c r="WS140" s="834"/>
      <c r="WT140" s="834"/>
      <c r="WU140" s="834"/>
      <c r="WV140" s="834"/>
      <c r="WW140" s="834"/>
      <c r="WX140" s="834"/>
      <c r="WY140" s="834"/>
      <c r="WZ140" s="834"/>
      <c r="XA140" s="834"/>
      <c r="XB140" s="834"/>
      <c r="XC140" s="834"/>
      <c r="XD140" s="834"/>
      <c r="XE140" s="834"/>
      <c r="XF140" s="834"/>
      <c r="XG140" s="834"/>
      <c r="XH140" s="834"/>
      <c r="XI140" s="834"/>
      <c r="XJ140" s="834"/>
      <c r="XK140" s="834"/>
      <c r="XL140" s="834"/>
      <c r="XM140" s="834"/>
      <c r="XN140" s="834"/>
      <c r="XO140" s="834"/>
      <c r="XP140" s="834"/>
      <c r="XQ140" s="834"/>
      <c r="XR140" s="834"/>
      <c r="XS140" s="834"/>
      <c r="XT140" s="834"/>
      <c r="XU140" s="834"/>
      <c r="XV140" s="834"/>
      <c r="XW140" s="834"/>
      <c r="XX140" s="834"/>
      <c r="XY140" s="834"/>
      <c r="XZ140" s="834"/>
      <c r="YA140" s="834"/>
      <c r="YB140" s="834"/>
      <c r="YC140" s="834"/>
      <c r="YD140" s="834"/>
      <c r="YE140" s="834"/>
      <c r="YF140" s="834"/>
      <c r="YG140" s="834"/>
      <c r="YH140" s="834"/>
      <c r="YI140" s="834"/>
      <c r="YJ140" s="834"/>
      <c r="YK140" s="834"/>
      <c r="YL140" s="834"/>
      <c r="YM140" s="834"/>
      <c r="YN140" s="834"/>
      <c r="YO140" s="834"/>
      <c r="YP140" s="834"/>
      <c r="YQ140" s="834"/>
      <c r="YR140" s="834"/>
      <c r="YS140" s="834"/>
      <c r="YT140" s="834"/>
      <c r="YU140" s="834"/>
      <c r="YV140" s="834"/>
      <c r="YW140" s="834"/>
      <c r="YX140" s="834"/>
      <c r="YY140" s="834"/>
      <c r="YZ140" s="834"/>
      <c r="ZA140" s="834"/>
      <c r="ZB140" s="834"/>
      <c r="ZC140" s="834"/>
      <c r="ZD140" s="834"/>
      <c r="ZE140" s="834"/>
      <c r="ZF140" s="834"/>
      <c r="ZG140" s="834"/>
      <c r="ZH140" s="834"/>
      <c r="ZI140" s="834"/>
      <c r="ZJ140" s="834"/>
      <c r="ZK140" s="834"/>
      <c r="ZL140" s="834"/>
      <c r="ZM140" s="834"/>
      <c r="ZN140" s="834"/>
      <c r="ZO140" s="834"/>
      <c r="ZP140" s="834"/>
      <c r="ZQ140" s="834"/>
      <c r="ZR140" s="834"/>
      <c r="ZS140" s="834"/>
      <c r="ZT140" s="834"/>
      <c r="ZU140" s="834"/>
      <c r="ZV140" s="834"/>
      <c r="ZW140" s="834"/>
      <c r="ZX140" s="834"/>
      <c r="ZY140" s="834"/>
      <c r="ZZ140" s="834"/>
      <c r="AAA140" s="834"/>
      <c r="AAB140" s="834"/>
      <c r="AAC140" s="834"/>
      <c r="AAD140" s="834"/>
      <c r="AAE140" s="834"/>
      <c r="AAF140" s="834"/>
      <c r="AAG140" s="834"/>
      <c r="AAH140" s="834"/>
      <c r="AAI140" s="834"/>
      <c r="AAJ140" s="834"/>
      <c r="AAK140" s="834"/>
      <c r="AAL140" s="834"/>
      <c r="AAM140" s="834"/>
      <c r="AAN140" s="834"/>
      <c r="AAO140" s="834"/>
      <c r="AAP140" s="834"/>
      <c r="AAQ140" s="834"/>
      <c r="AAR140" s="834"/>
      <c r="AAS140" s="834"/>
      <c r="AAT140" s="834"/>
      <c r="AAU140" s="834"/>
      <c r="AAV140" s="834"/>
      <c r="AAW140" s="834"/>
      <c r="AAX140" s="834"/>
      <c r="AAY140" s="834"/>
      <c r="AAZ140" s="834"/>
      <c r="ABA140" s="834"/>
      <c r="ABB140" s="834"/>
      <c r="ABC140" s="834"/>
      <c r="ABD140" s="834"/>
      <c r="ABE140" s="834"/>
      <c r="ABF140" s="834"/>
      <c r="ABG140" s="834"/>
      <c r="ABH140" s="834"/>
      <c r="ABI140" s="834"/>
      <c r="ABJ140" s="834"/>
      <c r="ABK140" s="834"/>
      <c r="ABL140" s="834"/>
      <c r="ABM140" s="834"/>
      <c r="ABN140" s="834"/>
      <c r="ABO140" s="834"/>
      <c r="ABP140" s="834"/>
      <c r="ABQ140" s="834"/>
      <c r="ABR140" s="834"/>
      <c r="ABS140" s="834"/>
      <c r="ABT140" s="834"/>
      <c r="ABU140" s="834"/>
      <c r="ABV140" s="834"/>
      <c r="ABW140" s="834"/>
      <c r="ABX140" s="834"/>
      <c r="ABY140" s="834"/>
      <c r="ABZ140" s="834"/>
      <c r="ACA140" s="834"/>
      <c r="ACB140" s="834"/>
      <c r="ACC140" s="834"/>
      <c r="ACD140" s="834"/>
      <c r="ACE140" s="834"/>
      <c r="ACF140" s="834"/>
      <c r="ACG140" s="834"/>
      <c r="ACH140" s="834"/>
      <c r="ACI140" s="834"/>
      <c r="ACJ140" s="834"/>
      <c r="ACK140" s="834"/>
      <c r="ACL140" s="834"/>
      <c r="ACM140" s="834"/>
      <c r="ACN140" s="834"/>
      <c r="ACO140" s="834"/>
      <c r="ACP140" s="834"/>
      <c r="ACQ140" s="834"/>
      <c r="ACR140" s="834"/>
      <c r="ACS140" s="834"/>
      <c r="ACT140" s="834"/>
      <c r="ACU140" s="834"/>
      <c r="ACV140" s="834"/>
      <c r="ACW140" s="834"/>
      <c r="ACX140" s="834"/>
      <c r="ACY140" s="834"/>
      <c r="ACZ140" s="834"/>
      <c r="ADA140" s="834"/>
      <c r="ADB140" s="834"/>
      <c r="ADC140" s="834"/>
      <c r="ADD140" s="834"/>
      <c r="ADE140" s="834"/>
      <c r="ADF140" s="834"/>
      <c r="ADG140" s="834"/>
      <c r="ADH140" s="834"/>
      <c r="ADI140" s="834"/>
      <c r="ADJ140" s="834"/>
      <c r="ADK140" s="834"/>
      <c r="ADL140" s="834"/>
      <c r="ADM140" s="834"/>
      <c r="ADN140" s="834"/>
      <c r="ADO140" s="834"/>
      <c r="ADP140" s="834"/>
      <c r="ADQ140" s="834"/>
      <c r="ADR140" s="834"/>
      <c r="ADS140" s="834"/>
      <c r="ADT140" s="834"/>
      <c r="ADU140" s="834"/>
      <c r="ADV140" s="834"/>
      <c r="ADW140" s="834"/>
      <c r="ADX140" s="834"/>
      <c r="ADY140" s="834"/>
      <c r="ADZ140" s="834"/>
      <c r="AEA140" s="834"/>
      <c r="AEB140" s="834"/>
      <c r="AEC140" s="834"/>
      <c r="AED140" s="834"/>
      <c r="AEE140" s="834"/>
      <c r="AEF140" s="834"/>
      <c r="AEG140" s="834"/>
      <c r="AEH140" s="834"/>
      <c r="AEI140" s="834"/>
      <c r="AEJ140" s="834"/>
      <c r="AEK140" s="834"/>
      <c r="AEL140" s="834"/>
      <c r="AEM140" s="834"/>
      <c r="AEN140" s="834"/>
      <c r="AEO140" s="834"/>
      <c r="AEP140" s="834"/>
      <c r="AEQ140" s="834"/>
      <c r="AER140" s="834"/>
      <c r="AES140" s="834"/>
      <c r="AET140" s="834"/>
      <c r="AEU140" s="834"/>
      <c r="AEV140" s="834"/>
      <c r="AEW140" s="834"/>
      <c r="AEX140" s="834"/>
      <c r="AEY140" s="834"/>
      <c r="AEZ140" s="834"/>
      <c r="AFA140" s="834"/>
      <c r="AFB140" s="834"/>
      <c r="AFC140" s="834"/>
      <c r="AFD140" s="834"/>
      <c r="AFE140" s="834"/>
      <c r="AFF140" s="834"/>
      <c r="AFG140" s="834"/>
      <c r="AFH140" s="834"/>
      <c r="AFI140" s="834"/>
      <c r="AFJ140" s="834"/>
      <c r="AFK140" s="834"/>
      <c r="AFL140" s="834"/>
      <c r="AFM140" s="834"/>
      <c r="AFN140" s="834"/>
      <c r="AFO140" s="834"/>
      <c r="AFP140" s="834"/>
      <c r="AFQ140" s="834"/>
      <c r="AFR140" s="834"/>
      <c r="AFS140" s="834"/>
      <c r="AFT140" s="834"/>
      <c r="AFU140" s="834"/>
      <c r="AFV140" s="834"/>
      <c r="AFW140" s="834"/>
      <c r="AFX140" s="834"/>
      <c r="AFY140" s="834"/>
      <c r="AFZ140" s="834"/>
      <c r="AGA140" s="834"/>
      <c r="AGB140" s="834"/>
      <c r="AGC140" s="834"/>
      <c r="AGD140" s="834"/>
      <c r="AGE140" s="834"/>
      <c r="AGF140" s="834"/>
      <c r="AGG140" s="834"/>
      <c r="AGH140" s="834"/>
      <c r="AGI140" s="834"/>
      <c r="AGJ140" s="834"/>
      <c r="AGK140" s="834"/>
      <c r="AGL140" s="834"/>
      <c r="AGM140" s="834"/>
      <c r="AGN140" s="834"/>
      <c r="AGO140" s="834"/>
      <c r="AGP140" s="834"/>
      <c r="AGQ140" s="834"/>
      <c r="AGR140" s="834"/>
      <c r="AGS140" s="834"/>
      <c r="AGT140" s="834"/>
      <c r="AGU140" s="834"/>
      <c r="AGV140" s="834"/>
      <c r="AGW140" s="834"/>
      <c r="AGX140" s="834"/>
      <c r="AGY140" s="834"/>
      <c r="AGZ140" s="834"/>
      <c r="AHA140" s="834"/>
      <c r="AHB140" s="834"/>
      <c r="AHC140" s="834"/>
      <c r="AHD140" s="834"/>
      <c r="AHE140" s="834"/>
      <c r="AHF140" s="834"/>
      <c r="AHG140" s="834"/>
      <c r="AHH140" s="834"/>
      <c r="AHI140" s="834"/>
      <c r="AHJ140" s="834"/>
      <c r="AHK140" s="834"/>
      <c r="AHL140" s="834"/>
      <c r="AHM140" s="834"/>
      <c r="AHN140" s="834"/>
      <c r="AHO140" s="834"/>
      <c r="AHP140" s="834"/>
      <c r="AHQ140" s="834"/>
      <c r="AHR140" s="834"/>
      <c r="AHS140" s="834"/>
      <c r="AHT140" s="834"/>
      <c r="AHU140" s="834"/>
      <c r="AHV140" s="834"/>
      <c r="AHW140" s="834"/>
      <c r="AHX140" s="834"/>
      <c r="AHY140" s="834"/>
      <c r="AHZ140" s="834"/>
      <c r="AIA140" s="834"/>
      <c r="AIB140" s="834"/>
      <c r="AIC140" s="834"/>
      <c r="AID140" s="834"/>
      <c r="AIE140" s="834"/>
      <c r="AIF140" s="834"/>
      <c r="AIG140" s="834"/>
      <c r="AIH140" s="834"/>
      <c r="AII140" s="834"/>
      <c r="AIJ140" s="834"/>
      <c r="AIK140" s="834"/>
      <c r="AIL140" s="834"/>
      <c r="AIM140" s="834"/>
      <c r="AIN140" s="834"/>
      <c r="AIO140" s="834"/>
      <c r="AIP140" s="834"/>
      <c r="AIQ140" s="834"/>
      <c r="AIR140" s="834"/>
      <c r="AIS140" s="834"/>
      <c r="AIT140" s="834"/>
      <c r="AIU140" s="834"/>
      <c r="AIV140" s="834"/>
      <c r="AIW140" s="834"/>
      <c r="AIX140" s="834"/>
      <c r="AIY140" s="834"/>
      <c r="AIZ140" s="834"/>
      <c r="AJA140" s="834"/>
      <c r="AJB140" s="834"/>
      <c r="AJC140" s="834"/>
      <c r="AJD140" s="834"/>
      <c r="AJE140" s="834"/>
      <c r="AJF140" s="834"/>
      <c r="AJG140" s="834"/>
      <c r="AJH140" s="834"/>
      <c r="AJI140" s="834"/>
      <c r="AJJ140" s="834"/>
      <c r="AJK140" s="834"/>
      <c r="AJL140" s="834"/>
      <c r="AJM140" s="834"/>
      <c r="AJN140" s="834"/>
      <c r="AJO140" s="834"/>
      <c r="AJP140" s="834"/>
      <c r="AJQ140" s="834"/>
      <c r="AJR140" s="834"/>
      <c r="AJS140" s="834"/>
      <c r="AJT140" s="834"/>
      <c r="AJU140" s="834"/>
      <c r="AJV140" s="834"/>
      <c r="AJW140" s="834"/>
      <c r="AJX140" s="834"/>
      <c r="AJY140" s="834"/>
      <c r="AJZ140" s="834"/>
      <c r="AKA140" s="834"/>
      <c r="AKB140" s="834"/>
      <c r="AKC140" s="834"/>
      <c r="AKD140" s="834"/>
      <c r="AKE140" s="834"/>
      <c r="AKF140" s="834"/>
      <c r="AKG140" s="834"/>
      <c r="AKH140" s="834"/>
      <c r="AKI140" s="834"/>
      <c r="AKJ140" s="834"/>
      <c r="AKK140" s="834"/>
      <c r="AKL140" s="834"/>
      <c r="AKM140" s="834"/>
      <c r="AKN140" s="834"/>
      <c r="AKO140" s="834"/>
      <c r="AKP140" s="834"/>
      <c r="AKQ140" s="834"/>
      <c r="AKR140" s="834"/>
      <c r="AKS140" s="834"/>
      <c r="AKT140" s="834"/>
      <c r="AKU140" s="834"/>
      <c r="AKV140" s="834"/>
      <c r="AKW140" s="834"/>
      <c r="AKX140" s="834"/>
      <c r="AKY140" s="834"/>
      <c r="AKZ140" s="834"/>
      <c r="ALA140" s="834"/>
      <c r="ALB140" s="834"/>
      <c r="ALC140" s="834"/>
      <c r="ALD140" s="834"/>
      <c r="ALE140" s="834"/>
      <c r="ALF140" s="834"/>
      <c r="ALG140" s="834"/>
      <c r="ALH140" s="834"/>
      <c r="ALI140" s="834"/>
      <c r="ALJ140" s="834"/>
      <c r="ALK140" s="834"/>
      <c r="ALL140" s="834"/>
      <c r="ALM140" s="834"/>
      <c r="ALN140" s="834"/>
      <c r="ALO140" s="834"/>
      <c r="ALP140" s="834"/>
      <c r="ALQ140" s="834"/>
      <c r="ALR140" s="834"/>
      <c r="ALS140" s="834"/>
      <c r="ALT140" s="834"/>
      <c r="ALU140" s="834"/>
      <c r="ALV140" s="834"/>
      <c r="ALW140" s="834"/>
      <c r="ALX140" s="834"/>
      <c r="ALY140" s="834"/>
      <c r="ALZ140" s="834"/>
      <c r="AMA140" s="834"/>
      <c r="AMB140" s="834"/>
      <c r="AMC140" s="834"/>
      <c r="AMD140" s="834"/>
      <c r="AME140" s="834"/>
      <c r="AMF140" s="834"/>
      <c r="AMG140" s="834"/>
      <c r="AMH140" s="834"/>
      <c r="AMI140" s="834"/>
      <c r="AMJ140" s="834"/>
      <c r="AMK140" s="834"/>
      <c r="AML140" s="834"/>
    </row>
    <row r="141" spans="1:1026" ht="54" customHeight="1" outlineLevel="1">
      <c r="A141" s="844"/>
      <c r="B141" s="891" t="s">
        <v>331</v>
      </c>
      <c r="C141" s="891" t="s">
        <v>332</v>
      </c>
      <c r="D141" s="450" t="s">
        <v>333</v>
      </c>
      <c r="E141" s="444" t="s">
        <v>27</v>
      </c>
      <c r="F141" s="881">
        <f>'GRADIL - A.VERDE - Á EXT.'!C29</f>
        <v>787.58</v>
      </c>
      <c r="G141" s="893">
        <f>K141</f>
        <v>85.58</v>
      </c>
      <c r="H141" s="883">
        <f>F141*G141</f>
        <v>67401.096399999995</v>
      </c>
      <c r="I141" s="844"/>
      <c r="J141" s="841">
        <v>67.59</v>
      </c>
      <c r="K141" s="842">
        <f>ROUND(J141*(1+$H$14),2)</f>
        <v>85.58</v>
      </c>
    </row>
    <row r="142" spans="1:1026" ht="39.75" customHeight="1" outlineLevel="1">
      <c r="A142" s="844">
        <v>115</v>
      </c>
      <c r="B142" s="891" t="s">
        <v>334</v>
      </c>
      <c r="C142" s="891" t="s">
        <v>335</v>
      </c>
      <c r="D142" s="450" t="s">
        <v>336</v>
      </c>
      <c r="E142" s="444" t="s">
        <v>27</v>
      </c>
      <c r="F142" s="881">
        <f>'GRADIL - A.VERDE - Á EXT.'!C30</f>
        <v>126.76</v>
      </c>
      <c r="G142" s="893">
        <f>K142</f>
        <v>145.79</v>
      </c>
      <c r="H142" s="883">
        <f>F142*G142</f>
        <v>18480.340400000001</v>
      </c>
      <c r="I142" s="844"/>
      <c r="J142" s="841">
        <v>115.15</v>
      </c>
      <c r="K142" s="842">
        <f>ROUND(J142*(1+$H$14),2)</f>
        <v>145.79</v>
      </c>
    </row>
    <row r="143" spans="1:1026" ht="51.75" customHeight="1" outlineLevel="1">
      <c r="A143" s="844"/>
      <c r="B143" s="891" t="s">
        <v>337</v>
      </c>
      <c r="C143" s="891" t="s">
        <v>338</v>
      </c>
      <c r="D143" s="450" t="s">
        <v>339</v>
      </c>
      <c r="E143" s="444" t="s">
        <v>27</v>
      </c>
      <c r="F143" s="881">
        <f>'GRADIL - A.VERDE - Á EXT.'!C31</f>
        <v>28.48</v>
      </c>
      <c r="G143" s="893">
        <f>K143</f>
        <v>72.28</v>
      </c>
      <c r="H143" s="883">
        <f>F143*G143</f>
        <v>2058.5344</v>
      </c>
      <c r="I143" s="844"/>
      <c r="J143" s="841">
        <v>57.09</v>
      </c>
      <c r="K143" s="842">
        <f>ROUND(J143*(1+$H$14),2)</f>
        <v>72.28</v>
      </c>
    </row>
    <row r="144" spans="1:1026" ht="45" customHeight="1" outlineLevel="1">
      <c r="A144" s="844"/>
      <c r="B144" s="891" t="s">
        <v>340</v>
      </c>
      <c r="C144" s="891" t="s">
        <v>341</v>
      </c>
      <c r="D144" s="450" t="s">
        <v>342</v>
      </c>
      <c r="E144" s="444" t="s">
        <v>38</v>
      </c>
      <c r="F144" s="881">
        <v>65</v>
      </c>
      <c r="G144" s="893">
        <f>K144</f>
        <v>56.7</v>
      </c>
      <c r="H144" s="883">
        <f>F144*G144</f>
        <v>3685.5</v>
      </c>
      <c r="I144" s="844"/>
      <c r="J144" s="841">
        <v>44.78</v>
      </c>
      <c r="K144" s="842">
        <f>ROUND(J144*(1+$H$14),2)</f>
        <v>56.7</v>
      </c>
    </row>
    <row r="145" spans="1:1026" ht="24.75" customHeight="1" outlineLevel="1">
      <c r="A145" s="844"/>
      <c r="B145" s="891" t="s">
        <v>343</v>
      </c>
      <c r="C145" s="891" t="s">
        <v>344</v>
      </c>
      <c r="D145" s="450" t="s">
        <v>345</v>
      </c>
      <c r="E145" s="444" t="s">
        <v>27</v>
      </c>
      <c r="F145" s="881">
        <f>65*0.3</f>
        <v>19.5</v>
      </c>
      <c r="G145" s="893">
        <f>K145</f>
        <v>4.8600000000000003</v>
      </c>
      <c r="H145" s="883">
        <f>F145*G145</f>
        <v>94.77000000000001</v>
      </c>
      <c r="I145" s="844"/>
      <c r="J145" s="841">
        <v>3.84</v>
      </c>
      <c r="K145" s="842">
        <f>ROUND(J145*(1+$H$14),2)</f>
        <v>4.8600000000000003</v>
      </c>
    </row>
    <row r="146" spans="1:1026" ht="24.95" customHeight="1">
      <c r="A146" s="844"/>
      <c r="B146" s="875">
        <v>16</v>
      </c>
      <c r="C146" s="875"/>
      <c r="D146" s="447" t="s">
        <v>346</v>
      </c>
      <c r="E146" s="422"/>
      <c r="F146" s="876"/>
      <c r="G146" s="877"/>
      <c r="H146" s="878"/>
      <c r="I146" s="844"/>
    </row>
    <row r="147" spans="1:1026" ht="39.75" customHeight="1" outlineLevel="1">
      <c r="A147" s="844"/>
      <c r="B147" s="891" t="s">
        <v>347</v>
      </c>
      <c r="C147" s="879" t="s">
        <v>348</v>
      </c>
      <c r="D147" s="450" t="s">
        <v>349</v>
      </c>
      <c r="E147" s="444" t="s">
        <v>27</v>
      </c>
      <c r="F147" s="881">
        <f ca="1">Acabamentos!G97</f>
        <v>1835.91</v>
      </c>
      <c r="G147" s="893">
        <f>K147</f>
        <v>13.43</v>
      </c>
      <c r="H147" s="883">
        <f ca="1">F147*G147</f>
        <v>24656.2713</v>
      </c>
      <c r="I147" s="844"/>
      <c r="J147" s="841">
        <v>10.61</v>
      </c>
      <c r="K147" s="842">
        <f>ROUND(J147*(1+$H$14),2)</f>
        <v>13.43</v>
      </c>
    </row>
    <row r="148" spans="1:1026" ht="39" customHeight="1" outlineLevel="1">
      <c r="A148" s="844"/>
      <c r="B148" s="891" t="s">
        <v>350</v>
      </c>
      <c r="C148" s="879" t="s">
        <v>351</v>
      </c>
      <c r="D148" s="450" t="s">
        <v>352</v>
      </c>
      <c r="E148" s="444" t="s">
        <v>27</v>
      </c>
      <c r="F148" s="881">
        <f ca="1">Acabamentos!G98</f>
        <v>1223.69</v>
      </c>
      <c r="G148" s="893">
        <f>K148</f>
        <v>17.04</v>
      </c>
      <c r="H148" s="883">
        <f ca="1">F148*G148</f>
        <v>20851.677599999999</v>
      </c>
      <c r="I148" s="844"/>
      <c r="J148" s="841">
        <v>13.46</v>
      </c>
      <c r="K148" s="842">
        <f>ROUND(J148*(1+$H$14),2)</f>
        <v>17.04</v>
      </c>
    </row>
    <row r="149" spans="1:1026" ht="39.75" customHeight="1" outlineLevel="1">
      <c r="A149" s="844"/>
      <c r="B149" s="891" t="s">
        <v>353</v>
      </c>
      <c r="C149" s="879" t="s">
        <v>354</v>
      </c>
      <c r="D149" s="450" t="s">
        <v>355</v>
      </c>
      <c r="E149" s="444" t="s">
        <v>27</v>
      </c>
      <c r="F149" s="881">
        <f ca="1">Acabamentos!G97</f>
        <v>1835.91</v>
      </c>
      <c r="G149" s="893">
        <f>K149</f>
        <v>24.49</v>
      </c>
      <c r="H149" s="883">
        <f ca="1">F149*G149</f>
        <v>44961.435899999997</v>
      </c>
      <c r="I149" s="844"/>
      <c r="J149" s="841">
        <v>19.34</v>
      </c>
      <c r="K149" s="842">
        <f>ROUND(J149*(1+$H$14),2)</f>
        <v>24.49</v>
      </c>
    </row>
    <row r="150" spans="1:1026" ht="39" customHeight="1" outlineLevel="1">
      <c r="A150" s="844"/>
      <c r="B150" s="891" t="s">
        <v>356</v>
      </c>
      <c r="C150" s="879" t="s">
        <v>357</v>
      </c>
      <c r="D150" s="450" t="s">
        <v>358</v>
      </c>
      <c r="E150" s="444" t="s">
        <v>27</v>
      </c>
      <c r="F150" s="881">
        <f ca="1">Acabamentos!G98</f>
        <v>1223.69</v>
      </c>
      <c r="G150" s="893">
        <f>K150</f>
        <v>24.75</v>
      </c>
      <c r="H150" s="883">
        <f ca="1">F150*G150</f>
        <v>30286.327500000003</v>
      </c>
      <c r="I150" s="844"/>
      <c r="J150" s="841">
        <v>19.55</v>
      </c>
      <c r="K150" s="842">
        <f>ROUND(J150*(1+$H$14),2)</f>
        <v>24.75</v>
      </c>
    </row>
    <row r="151" spans="1:1026" ht="39" customHeight="1" outlineLevel="1">
      <c r="A151" s="844"/>
      <c r="B151" s="891" t="s">
        <v>359</v>
      </c>
      <c r="C151" s="879" t="s">
        <v>360</v>
      </c>
      <c r="D151" s="450" t="s">
        <v>361</v>
      </c>
      <c r="E151" s="444" t="s">
        <v>27</v>
      </c>
      <c r="F151" s="881">
        <f>'GRADIL - A.VERDE - Á EXT.'!C30</f>
        <v>126.76</v>
      </c>
      <c r="G151" s="893">
        <f>K151</f>
        <v>20.9</v>
      </c>
      <c r="H151" s="883">
        <f>F151*G151</f>
        <v>2649.2840000000001</v>
      </c>
      <c r="I151" s="844"/>
      <c r="J151" s="841">
        <v>16.510000000000002</v>
      </c>
      <c r="K151" s="842">
        <f>ROUND(J151*(1+$H$14),2)</f>
        <v>20.9</v>
      </c>
    </row>
    <row r="152" spans="1:1026" s="828" customFormat="1" ht="24.95" customHeight="1">
      <c r="A152" s="951"/>
      <c r="B152" s="952">
        <v>17</v>
      </c>
      <c r="C152" s="952"/>
      <c r="D152" s="415" t="s">
        <v>362</v>
      </c>
      <c r="E152" s="953"/>
      <c r="F152" s="954"/>
      <c r="G152" s="955"/>
      <c r="H152" s="956"/>
      <c r="I152" s="951"/>
      <c r="J152" s="978"/>
      <c r="K152" s="979"/>
      <c r="L152" s="980"/>
      <c r="M152" s="980"/>
      <c r="N152" s="980"/>
      <c r="O152" s="980"/>
      <c r="P152" s="980"/>
      <c r="Q152" s="980"/>
      <c r="R152" s="980"/>
      <c r="S152" s="980"/>
      <c r="T152" s="980"/>
      <c r="U152" s="980"/>
      <c r="V152" s="980"/>
      <c r="W152" s="980"/>
      <c r="X152" s="980"/>
      <c r="Y152" s="980"/>
      <c r="Z152" s="980"/>
      <c r="AA152" s="980"/>
      <c r="AB152" s="980"/>
      <c r="AC152" s="980"/>
      <c r="AD152" s="980"/>
      <c r="AE152" s="980"/>
      <c r="AF152" s="980"/>
      <c r="AG152" s="980"/>
      <c r="AH152" s="980"/>
      <c r="AI152" s="980"/>
      <c r="AJ152" s="980"/>
      <c r="AK152" s="980"/>
      <c r="AL152" s="980"/>
      <c r="AM152" s="980"/>
      <c r="AN152" s="980"/>
      <c r="AO152" s="980"/>
      <c r="AP152" s="980"/>
      <c r="AQ152" s="980"/>
      <c r="AR152" s="980"/>
      <c r="AS152" s="980"/>
      <c r="AT152" s="980"/>
      <c r="AU152" s="980"/>
      <c r="AV152" s="980"/>
      <c r="AW152" s="980"/>
      <c r="AX152" s="980"/>
      <c r="AY152" s="980"/>
      <c r="AZ152" s="980"/>
      <c r="BA152" s="980"/>
      <c r="BB152" s="980"/>
      <c r="BC152" s="980"/>
      <c r="BD152" s="980"/>
      <c r="BE152" s="980"/>
      <c r="BF152" s="980"/>
      <c r="BG152" s="980"/>
      <c r="BH152" s="980"/>
      <c r="BI152" s="980"/>
      <c r="BJ152" s="980"/>
      <c r="BK152" s="980"/>
      <c r="BL152" s="980"/>
      <c r="BM152" s="980"/>
      <c r="BN152" s="980"/>
      <c r="BO152" s="980"/>
      <c r="BP152" s="980"/>
      <c r="BQ152" s="980"/>
      <c r="BR152" s="980"/>
      <c r="BS152" s="980"/>
      <c r="BT152" s="980"/>
      <c r="BU152" s="980"/>
      <c r="BV152" s="980"/>
      <c r="BW152" s="980"/>
      <c r="BX152" s="980"/>
      <c r="BY152" s="980"/>
      <c r="BZ152" s="980"/>
      <c r="CA152" s="980"/>
      <c r="CB152" s="980"/>
      <c r="CC152" s="980"/>
      <c r="CD152" s="980"/>
      <c r="CE152" s="980"/>
      <c r="CF152" s="980"/>
      <c r="CG152" s="980"/>
      <c r="CH152" s="980"/>
      <c r="CI152" s="980"/>
      <c r="CJ152" s="980"/>
      <c r="CK152" s="980"/>
      <c r="CL152" s="980"/>
      <c r="CM152" s="980"/>
      <c r="CN152" s="980"/>
      <c r="CO152" s="980"/>
      <c r="CP152" s="980"/>
      <c r="CQ152" s="980"/>
      <c r="CR152" s="980"/>
      <c r="CS152" s="980"/>
      <c r="CT152" s="980"/>
      <c r="CU152" s="980"/>
      <c r="CV152" s="980"/>
      <c r="CW152" s="980"/>
      <c r="CX152" s="980"/>
      <c r="CY152" s="980"/>
      <c r="CZ152" s="980"/>
      <c r="DA152" s="980"/>
      <c r="DB152" s="980"/>
      <c r="DC152" s="980"/>
      <c r="DD152" s="980"/>
      <c r="DE152" s="980"/>
      <c r="DF152" s="980"/>
      <c r="DG152" s="980"/>
      <c r="DH152" s="980"/>
      <c r="DI152" s="980"/>
      <c r="DJ152" s="980"/>
      <c r="DK152" s="980"/>
      <c r="DL152" s="980"/>
      <c r="DM152" s="980"/>
      <c r="DN152" s="980"/>
      <c r="DO152" s="980"/>
      <c r="DP152" s="980"/>
      <c r="DQ152" s="980"/>
      <c r="DR152" s="980"/>
      <c r="DS152" s="980"/>
      <c r="DT152" s="980"/>
      <c r="DU152" s="980"/>
      <c r="DV152" s="980"/>
      <c r="DW152" s="980"/>
      <c r="DX152" s="980"/>
      <c r="DY152" s="980"/>
      <c r="DZ152" s="980"/>
      <c r="EA152" s="980"/>
      <c r="EB152" s="980"/>
      <c r="EC152" s="980"/>
      <c r="ED152" s="980"/>
      <c r="EE152" s="980"/>
      <c r="EF152" s="980"/>
      <c r="EG152" s="980"/>
      <c r="EH152" s="980"/>
      <c r="EI152" s="980"/>
      <c r="EJ152" s="980"/>
      <c r="EK152" s="980"/>
      <c r="EL152" s="980"/>
      <c r="EM152" s="980"/>
      <c r="EN152" s="980"/>
      <c r="EO152" s="980"/>
      <c r="EP152" s="980"/>
      <c r="EQ152" s="980"/>
      <c r="ER152" s="980"/>
      <c r="ES152" s="980"/>
      <c r="ET152" s="980"/>
      <c r="EU152" s="980"/>
      <c r="EV152" s="980"/>
      <c r="EW152" s="980"/>
      <c r="EX152" s="980"/>
      <c r="EY152" s="980"/>
      <c r="EZ152" s="980"/>
      <c r="FA152" s="980"/>
      <c r="FB152" s="980"/>
      <c r="FC152" s="980"/>
      <c r="FD152" s="980"/>
      <c r="FE152" s="980"/>
      <c r="FF152" s="980"/>
      <c r="FG152" s="980"/>
      <c r="FH152" s="980"/>
      <c r="FI152" s="980"/>
      <c r="FJ152" s="980"/>
      <c r="FK152" s="980"/>
      <c r="FL152" s="980"/>
      <c r="FM152" s="980"/>
      <c r="FN152" s="980"/>
      <c r="FO152" s="980"/>
      <c r="FP152" s="980"/>
      <c r="FQ152" s="980"/>
      <c r="FR152" s="980"/>
      <c r="FS152" s="980"/>
      <c r="FT152" s="980"/>
      <c r="FU152" s="980"/>
      <c r="FV152" s="980"/>
      <c r="FW152" s="980"/>
      <c r="FX152" s="980"/>
      <c r="FY152" s="980"/>
      <c r="FZ152" s="980"/>
      <c r="GA152" s="980"/>
      <c r="GB152" s="980"/>
      <c r="GC152" s="980"/>
      <c r="GD152" s="980"/>
      <c r="GE152" s="980"/>
      <c r="GF152" s="980"/>
      <c r="GG152" s="980"/>
      <c r="GH152" s="980"/>
      <c r="GI152" s="980"/>
      <c r="GJ152" s="980"/>
      <c r="GK152" s="980"/>
      <c r="GL152" s="980"/>
      <c r="GM152" s="980"/>
      <c r="GN152" s="980"/>
      <c r="GO152" s="980"/>
      <c r="GP152" s="980"/>
      <c r="GQ152" s="980"/>
      <c r="GR152" s="980"/>
      <c r="GS152" s="980"/>
      <c r="GT152" s="980"/>
      <c r="GU152" s="980"/>
      <c r="GV152" s="980"/>
      <c r="GW152" s="980"/>
      <c r="GX152" s="980"/>
      <c r="GY152" s="980"/>
      <c r="GZ152" s="980"/>
      <c r="HA152" s="980"/>
      <c r="HB152" s="980"/>
      <c r="HC152" s="980"/>
      <c r="HD152" s="980"/>
      <c r="HE152" s="980"/>
      <c r="HF152" s="980"/>
      <c r="HG152" s="980"/>
      <c r="HH152" s="980"/>
      <c r="HI152" s="980"/>
      <c r="HJ152" s="980"/>
      <c r="HK152" s="980"/>
      <c r="HL152" s="980"/>
      <c r="HM152" s="980"/>
      <c r="HN152" s="980"/>
      <c r="HO152" s="980"/>
      <c r="HP152" s="980"/>
      <c r="HQ152" s="980"/>
      <c r="HR152" s="980"/>
      <c r="HS152" s="980"/>
      <c r="HT152" s="980"/>
      <c r="HU152" s="980"/>
      <c r="HV152" s="980"/>
      <c r="HW152" s="980"/>
      <c r="HX152" s="980"/>
      <c r="HY152" s="980"/>
      <c r="HZ152" s="980"/>
      <c r="IA152" s="980"/>
      <c r="IB152" s="980"/>
      <c r="IC152" s="980"/>
      <c r="ID152" s="980"/>
      <c r="IE152" s="980"/>
      <c r="IF152" s="980"/>
      <c r="IG152" s="980"/>
      <c r="IH152" s="980"/>
      <c r="II152" s="980"/>
      <c r="IJ152" s="980"/>
      <c r="IK152" s="980"/>
      <c r="IL152" s="980"/>
      <c r="IM152" s="980"/>
      <c r="IN152" s="980"/>
      <c r="IO152" s="980"/>
      <c r="IP152" s="980"/>
      <c r="IQ152" s="980"/>
      <c r="IR152" s="980"/>
      <c r="IS152" s="980"/>
      <c r="IT152" s="980"/>
      <c r="IU152" s="980"/>
      <c r="IV152" s="980"/>
      <c r="IW152" s="980"/>
      <c r="IX152" s="980"/>
      <c r="IY152" s="980"/>
      <c r="IZ152" s="980"/>
      <c r="JA152" s="980"/>
      <c r="JB152" s="980"/>
      <c r="JC152" s="980"/>
      <c r="JD152" s="980"/>
      <c r="JE152" s="980"/>
      <c r="JF152" s="980"/>
      <c r="JG152" s="980"/>
      <c r="JH152" s="980"/>
      <c r="JI152" s="980"/>
      <c r="JJ152" s="980"/>
      <c r="JK152" s="980"/>
      <c r="JL152" s="980"/>
      <c r="JM152" s="980"/>
      <c r="JN152" s="980"/>
      <c r="JO152" s="980"/>
      <c r="JP152" s="980"/>
      <c r="JQ152" s="980"/>
      <c r="JR152" s="980"/>
      <c r="JS152" s="980"/>
      <c r="JT152" s="980"/>
      <c r="JU152" s="980"/>
      <c r="JV152" s="980"/>
      <c r="JW152" s="980"/>
      <c r="JX152" s="980"/>
      <c r="JY152" s="980"/>
      <c r="JZ152" s="980"/>
      <c r="KA152" s="980"/>
      <c r="KB152" s="980"/>
      <c r="KC152" s="980"/>
      <c r="KD152" s="980"/>
      <c r="KE152" s="980"/>
      <c r="KF152" s="980"/>
      <c r="KG152" s="980"/>
      <c r="KH152" s="980"/>
      <c r="KI152" s="980"/>
      <c r="KJ152" s="980"/>
      <c r="KK152" s="980"/>
      <c r="KL152" s="980"/>
      <c r="KM152" s="980"/>
      <c r="KN152" s="980"/>
      <c r="KO152" s="980"/>
      <c r="KP152" s="980"/>
      <c r="KQ152" s="980"/>
      <c r="KR152" s="980"/>
      <c r="KS152" s="980"/>
      <c r="KT152" s="980"/>
      <c r="KU152" s="980"/>
      <c r="KV152" s="980"/>
      <c r="KW152" s="980"/>
      <c r="KX152" s="980"/>
      <c r="KY152" s="980"/>
      <c r="KZ152" s="980"/>
      <c r="LA152" s="980"/>
      <c r="LB152" s="980"/>
      <c r="LC152" s="980"/>
      <c r="LD152" s="980"/>
      <c r="LE152" s="980"/>
      <c r="LF152" s="980"/>
      <c r="LG152" s="980"/>
      <c r="LH152" s="980"/>
      <c r="LI152" s="980"/>
      <c r="LJ152" s="980"/>
      <c r="LK152" s="980"/>
      <c r="LL152" s="980"/>
      <c r="LM152" s="980"/>
      <c r="LN152" s="980"/>
      <c r="LO152" s="980"/>
      <c r="LP152" s="980"/>
      <c r="LQ152" s="980"/>
      <c r="LR152" s="980"/>
      <c r="LS152" s="980"/>
      <c r="LT152" s="980"/>
      <c r="LU152" s="980"/>
      <c r="LV152" s="980"/>
      <c r="LW152" s="980"/>
      <c r="LX152" s="980"/>
      <c r="LY152" s="980"/>
      <c r="LZ152" s="980"/>
      <c r="MA152" s="980"/>
      <c r="MB152" s="980"/>
      <c r="MC152" s="980"/>
      <c r="MD152" s="980"/>
      <c r="ME152" s="980"/>
      <c r="MF152" s="980"/>
      <c r="MG152" s="980"/>
      <c r="MH152" s="980"/>
      <c r="MI152" s="980"/>
      <c r="MJ152" s="980"/>
      <c r="MK152" s="980"/>
      <c r="ML152" s="980"/>
      <c r="MM152" s="980"/>
      <c r="MN152" s="980"/>
      <c r="MO152" s="980"/>
      <c r="MP152" s="980"/>
      <c r="MQ152" s="980"/>
      <c r="MR152" s="980"/>
      <c r="MS152" s="980"/>
      <c r="MT152" s="980"/>
      <c r="MU152" s="980"/>
      <c r="MV152" s="980"/>
      <c r="MW152" s="980"/>
      <c r="MX152" s="980"/>
      <c r="MY152" s="980"/>
      <c r="MZ152" s="980"/>
      <c r="NA152" s="980"/>
      <c r="NB152" s="980"/>
      <c r="NC152" s="980"/>
      <c r="ND152" s="980"/>
      <c r="NE152" s="980"/>
      <c r="NF152" s="980"/>
      <c r="NG152" s="980"/>
      <c r="NH152" s="980"/>
      <c r="NI152" s="980"/>
      <c r="NJ152" s="980"/>
      <c r="NK152" s="980"/>
      <c r="NL152" s="980"/>
      <c r="NM152" s="980"/>
      <c r="NN152" s="980"/>
      <c r="NO152" s="980"/>
      <c r="NP152" s="980"/>
      <c r="NQ152" s="980"/>
      <c r="NR152" s="980"/>
      <c r="NS152" s="980"/>
      <c r="NT152" s="980"/>
      <c r="NU152" s="980"/>
      <c r="NV152" s="980"/>
      <c r="NW152" s="980"/>
      <c r="NX152" s="980"/>
      <c r="NY152" s="980"/>
      <c r="NZ152" s="980"/>
      <c r="OA152" s="980"/>
      <c r="OB152" s="980"/>
      <c r="OC152" s="980"/>
      <c r="OD152" s="980"/>
      <c r="OE152" s="980"/>
      <c r="OF152" s="980"/>
      <c r="OG152" s="980"/>
      <c r="OH152" s="980"/>
      <c r="OI152" s="980"/>
      <c r="OJ152" s="980"/>
      <c r="OK152" s="980"/>
      <c r="OL152" s="980"/>
      <c r="OM152" s="980"/>
      <c r="ON152" s="980"/>
      <c r="OO152" s="980"/>
      <c r="OP152" s="980"/>
      <c r="OQ152" s="980"/>
      <c r="OR152" s="980"/>
      <c r="OS152" s="980"/>
      <c r="OT152" s="980"/>
      <c r="OU152" s="980"/>
      <c r="OV152" s="980"/>
      <c r="OW152" s="980"/>
      <c r="OX152" s="980"/>
      <c r="OY152" s="980"/>
      <c r="OZ152" s="980"/>
      <c r="PA152" s="980"/>
      <c r="PB152" s="980"/>
      <c r="PC152" s="980"/>
      <c r="PD152" s="980"/>
      <c r="PE152" s="980"/>
      <c r="PF152" s="980"/>
      <c r="PG152" s="980"/>
      <c r="PH152" s="980"/>
      <c r="PI152" s="980"/>
      <c r="PJ152" s="980"/>
      <c r="PK152" s="980"/>
      <c r="PL152" s="980"/>
      <c r="PM152" s="980"/>
      <c r="PN152" s="980"/>
      <c r="PO152" s="980"/>
      <c r="PP152" s="980"/>
      <c r="PQ152" s="980"/>
      <c r="PR152" s="980"/>
      <c r="PS152" s="980"/>
      <c r="PT152" s="980"/>
      <c r="PU152" s="980"/>
      <c r="PV152" s="980"/>
      <c r="PW152" s="980"/>
      <c r="PX152" s="980"/>
      <c r="PY152" s="980"/>
      <c r="PZ152" s="980"/>
      <c r="QA152" s="980"/>
      <c r="QB152" s="980"/>
      <c r="QC152" s="980"/>
      <c r="QD152" s="980"/>
      <c r="QE152" s="980"/>
      <c r="QF152" s="980"/>
      <c r="QG152" s="980"/>
      <c r="QH152" s="980"/>
      <c r="QI152" s="980"/>
      <c r="QJ152" s="980"/>
      <c r="QK152" s="980"/>
      <c r="QL152" s="980"/>
      <c r="QM152" s="980"/>
      <c r="QN152" s="980"/>
      <c r="QO152" s="980"/>
      <c r="QP152" s="980"/>
      <c r="QQ152" s="980"/>
      <c r="QR152" s="980"/>
      <c r="QS152" s="980"/>
      <c r="QT152" s="980"/>
      <c r="QU152" s="980"/>
      <c r="QV152" s="980"/>
      <c r="QW152" s="980"/>
      <c r="QX152" s="980"/>
      <c r="QY152" s="980"/>
      <c r="QZ152" s="980"/>
      <c r="RA152" s="980"/>
      <c r="RB152" s="980"/>
      <c r="RC152" s="980"/>
      <c r="RD152" s="980"/>
      <c r="RE152" s="980"/>
      <c r="RF152" s="980"/>
      <c r="RG152" s="980"/>
      <c r="RH152" s="980"/>
      <c r="RI152" s="980"/>
      <c r="RJ152" s="980"/>
      <c r="RK152" s="980"/>
      <c r="RL152" s="980"/>
      <c r="RM152" s="980"/>
      <c r="RN152" s="980"/>
      <c r="RO152" s="980"/>
      <c r="RP152" s="980"/>
      <c r="RQ152" s="980"/>
      <c r="RR152" s="980"/>
      <c r="RS152" s="980"/>
      <c r="RT152" s="980"/>
      <c r="RU152" s="980"/>
      <c r="RV152" s="980"/>
      <c r="RW152" s="980"/>
      <c r="RX152" s="980"/>
      <c r="RY152" s="980"/>
      <c r="RZ152" s="980"/>
      <c r="SA152" s="980"/>
      <c r="SB152" s="980"/>
      <c r="SC152" s="980"/>
      <c r="SD152" s="980"/>
      <c r="SE152" s="980"/>
      <c r="SF152" s="980"/>
      <c r="SG152" s="980"/>
      <c r="SH152" s="980"/>
      <c r="SI152" s="980"/>
      <c r="SJ152" s="980"/>
      <c r="SK152" s="980"/>
      <c r="SL152" s="980"/>
      <c r="SM152" s="980"/>
      <c r="SN152" s="980"/>
      <c r="SO152" s="980"/>
      <c r="SP152" s="980"/>
      <c r="SQ152" s="980"/>
      <c r="SR152" s="980"/>
      <c r="SS152" s="980"/>
      <c r="ST152" s="980"/>
      <c r="SU152" s="980"/>
      <c r="SV152" s="980"/>
      <c r="SW152" s="980"/>
      <c r="SX152" s="980"/>
      <c r="SY152" s="980"/>
      <c r="SZ152" s="980"/>
      <c r="TA152" s="980"/>
      <c r="TB152" s="980"/>
      <c r="TC152" s="980"/>
      <c r="TD152" s="980"/>
      <c r="TE152" s="980"/>
      <c r="TF152" s="980"/>
      <c r="TG152" s="980"/>
      <c r="TH152" s="980"/>
      <c r="TI152" s="980"/>
      <c r="TJ152" s="980"/>
      <c r="TK152" s="980"/>
      <c r="TL152" s="980"/>
      <c r="TM152" s="980"/>
      <c r="TN152" s="980"/>
      <c r="TO152" s="980"/>
      <c r="TP152" s="980"/>
      <c r="TQ152" s="980"/>
      <c r="TR152" s="980"/>
      <c r="TS152" s="980"/>
      <c r="TT152" s="980"/>
      <c r="TU152" s="980"/>
      <c r="TV152" s="980"/>
      <c r="TW152" s="980"/>
      <c r="TX152" s="980"/>
      <c r="TY152" s="980"/>
      <c r="TZ152" s="980"/>
      <c r="UA152" s="980"/>
      <c r="UB152" s="980"/>
      <c r="UC152" s="980"/>
      <c r="UD152" s="980"/>
      <c r="UE152" s="980"/>
      <c r="UF152" s="980"/>
      <c r="UG152" s="980"/>
      <c r="UH152" s="980"/>
      <c r="UI152" s="980"/>
      <c r="UJ152" s="980"/>
      <c r="UK152" s="980"/>
      <c r="UL152" s="980"/>
      <c r="UM152" s="980"/>
      <c r="UN152" s="980"/>
      <c r="UO152" s="980"/>
      <c r="UP152" s="980"/>
      <c r="UQ152" s="980"/>
      <c r="UR152" s="980"/>
      <c r="US152" s="980"/>
      <c r="UT152" s="980"/>
      <c r="UU152" s="980"/>
      <c r="UV152" s="980"/>
      <c r="UW152" s="980"/>
      <c r="UX152" s="980"/>
      <c r="UY152" s="980"/>
      <c r="UZ152" s="980"/>
      <c r="VA152" s="980"/>
      <c r="VB152" s="980"/>
      <c r="VC152" s="980"/>
      <c r="VD152" s="980"/>
      <c r="VE152" s="980"/>
      <c r="VF152" s="980"/>
      <c r="VG152" s="980"/>
      <c r="VH152" s="980"/>
      <c r="VI152" s="980"/>
      <c r="VJ152" s="980"/>
      <c r="VK152" s="980"/>
      <c r="VL152" s="980"/>
      <c r="VM152" s="980"/>
      <c r="VN152" s="980"/>
      <c r="VO152" s="980"/>
      <c r="VP152" s="980"/>
      <c r="VQ152" s="980"/>
      <c r="VR152" s="980"/>
      <c r="VS152" s="980"/>
      <c r="VT152" s="980"/>
      <c r="VU152" s="980"/>
      <c r="VV152" s="980"/>
      <c r="VW152" s="980"/>
      <c r="VX152" s="980"/>
      <c r="VY152" s="980"/>
      <c r="VZ152" s="980"/>
      <c r="WA152" s="980"/>
      <c r="WB152" s="980"/>
      <c r="WC152" s="980"/>
      <c r="WD152" s="980"/>
      <c r="WE152" s="980"/>
      <c r="WF152" s="980"/>
      <c r="WG152" s="980"/>
      <c r="WH152" s="980"/>
      <c r="WI152" s="980"/>
      <c r="WJ152" s="980"/>
      <c r="WK152" s="980"/>
      <c r="WL152" s="980"/>
      <c r="WM152" s="980"/>
      <c r="WN152" s="980"/>
      <c r="WO152" s="980"/>
      <c r="WP152" s="980"/>
      <c r="WQ152" s="980"/>
      <c r="WR152" s="980"/>
      <c r="WS152" s="980"/>
      <c r="WT152" s="980"/>
      <c r="WU152" s="980"/>
      <c r="WV152" s="980"/>
      <c r="WW152" s="980"/>
      <c r="WX152" s="980"/>
      <c r="WY152" s="980"/>
      <c r="WZ152" s="980"/>
      <c r="XA152" s="980"/>
      <c r="XB152" s="980"/>
      <c r="XC152" s="980"/>
      <c r="XD152" s="980"/>
      <c r="XE152" s="980"/>
      <c r="XF152" s="980"/>
      <c r="XG152" s="980"/>
      <c r="XH152" s="980"/>
      <c r="XI152" s="980"/>
      <c r="XJ152" s="980"/>
      <c r="XK152" s="980"/>
      <c r="XL152" s="980"/>
      <c r="XM152" s="980"/>
      <c r="XN152" s="980"/>
      <c r="XO152" s="980"/>
      <c r="XP152" s="980"/>
      <c r="XQ152" s="980"/>
      <c r="XR152" s="980"/>
      <c r="XS152" s="980"/>
      <c r="XT152" s="980"/>
      <c r="XU152" s="980"/>
      <c r="XV152" s="980"/>
      <c r="XW152" s="980"/>
      <c r="XX152" s="980"/>
      <c r="XY152" s="980"/>
      <c r="XZ152" s="980"/>
      <c r="YA152" s="980"/>
      <c r="YB152" s="980"/>
      <c r="YC152" s="980"/>
      <c r="YD152" s="980"/>
      <c r="YE152" s="980"/>
      <c r="YF152" s="980"/>
      <c r="YG152" s="980"/>
      <c r="YH152" s="980"/>
      <c r="YI152" s="980"/>
      <c r="YJ152" s="980"/>
      <c r="YK152" s="980"/>
      <c r="YL152" s="980"/>
      <c r="YM152" s="980"/>
      <c r="YN152" s="980"/>
      <c r="YO152" s="980"/>
      <c r="YP152" s="980"/>
      <c r="YQ152" s="980"/>
      <c r="YR152" s="980"/>
      <c r="YS152" s="980"/>
      <c r="YT152" s="980"/>
      <c r="YU152" s="980"/>
      <c r="YV152" s="980"/>
      <c r="YW152" s="980"/>
      <c r="YX152" s="980"/>
      <c r="YY152" s="980"/>
      <c r="YZ152" s="980"/>
      <c r="ZA152" s="980"/>
      <c r="ZB152" s="980"/>
      <c r="ZC152" s="980"/>
      <c r="ZD152" s="980"/>
      <c r="ZE152" s="980"/>
      <c r="ZF152" s="980"/>
      <c r="ZG152" s="980"/>
      <c r="ZH152" s="980"/>
      <c r="ZI152" s="980"/>
      <c r="ZJ152" s="980"/>
      <c r="ZK152" s="980"/>
      <c r="ZL152" s="980"/>
      <c r="ZM152" s="980"/>
      <c r="ZN152" s="980"/>
      <c r="ZO152" s="980"/>
      <c r="ZP152" s="980"/>
      <c r="ZQ152" s="980"/>
      <c r="ZR152" s="980"/>
      <c r="ZS152" s="980"/>
      <c r="ZT152" s="980"/>
      <c r="ZU152" s="980"/>
      <c r="ZV152" s="980"/>
      <c r="ZW152" s="980"/>
      <c r="ZX152" s="980"/>
      <c r="ZY152" s="980"/>
      <c r="ZZ152" s="980"/>
      <c r="AAA152" s="980"/>
      <c r="AAB152" s="980"/>
      <c r="AAC152" s="980"/>
      <c r="AAD152" s="980"/>
      <c r="AAE152" s="980"/>
      <c r="AAF152" s="980"/>
      <c r="AAG152" s="980"/>
      <c r="AAH152" s="980"/>
      <c r="AAI152" s="980"/>
      <c r="AAJ152" s="980"/>
      <c r="AAK152" s="980"/>
      <c r="AAL152" s="980"/>
      <c r="AAM152" s="980"/>
      <c r="AAN152" s="980"/>
      <c r="AAO152" s="980"/>
      <c r="AAP152" s="980"/>
      <c r="AAQ152" s="980"/>
      <c r="AAR152" s="980"/>
      <c r="AAS152" s="980"/>
      <c r="AAT152" s="980"/>
      <c r="AAU152" s="980"/>
      <c r="AAV152" s="980"/>
      <c r="AAW152" s="980"/>
      <c r="AAX152" s="980"/>
      <c r="AAY152" s="980"/>
      <c r="AAZ152" s="980"/>
      <c r="ABA152" s="980"/>
      <c r="ABB152" s="980"/>
      <c r="ABC152" s="980"/>
      <c r="ABD152" s="980"/>
      <c r="ABE152" s="980"/>
      <c r="ABF152" s="980"/>
      <c r="ABG152" s="980"/>
      <c r="ABH152" s="980"/>
      <c r="ABI152" s="980"/>
      <c r="ABJ152" s="980"/>
      <c r="ABK152" s="980"/>
      <c r="ABL152" s="980"/>
      <c r="ABM152" s="980"/>
      <c r="ABN152" s="980"/>
      <c r="ABO152" s="980"/>
      <c r="ABP152" s="980"/>
      <c r="ABQ152" s="980"/>
      <c r="ABR152" s="980"/>
      <c r="ABS152" s="980"/>
      <c r="ABT152" s="980"/>
      <c r="ABU152" s="980"/>
      <c r="ABV152" s="980"/>
      <c r="ABW152" s="980"/>
      <c r="ABX152" s="980"/>
      <c r="ABY152" s="980"/>
      <c r="ABZ152" s="980"/>
      <c r="ACA152" s="980"/>
      <c r="ACB152" s="980"/>
      <c r="ACC152" s="980"/>
      <c r="ACD152" s="980"/>
      <c r="ACE152" s="980"/>
      <c r="ACF152" s="980"/>
      <c r="ACG152" s="980"/>
      <c r="ACH152" s="980"/>
      <c r="ACI152" s="980"/>
      <c r="ACJ152" s="980"/>
      <c r="ACK152" s="980"/>
      <c r="ACL152" s="980"/>
      <c r="ACM152" s="980"/>
      <c r="ACN152" s="980"/>
      <c r="ACO152" s="980"/>
      <c r="ACP152" s="980"/>
      <c r="ACQ152" s="980"/>
      <c r="ACR152" s="980"/>
      <c r="ACS152" s="980"/>
      <c r="ACT152" s="980"/>
      <c r="ACU152" s="980"/>
      <c r="ACV152" s="980"/>
      <c r="ACW152" s="980"/>
      <c r="ACX152" s="980"/>
      <c r="ACY152" s="980"/>
      <c r="ACZ152" s="980"/>
      <c r="ADA152" s="980"/>
      <c r="ADB152" s="980"/>
      <c r="ADC152" s="980"/>
      <c r="ADD152" s="980"/>
      <c r="ADE152" s="980"/>
      <c r="ADF152" s="980"/>
      <c r="ADG152" s="980"/>
      <c r="ADH152" s="980"/>
      <c r="ADI152" s="980"/>
      <c r="ADJ152" s="980"/>
      <c r="ADK152" s="980"/>
      <c r="ADL152" s="980"/>
      <c r="ADM152" s="980"/>
      <c r="ADN152" s="980"/>
      <c r="ADO152" s="980"/>
      <c r="ADP152" s="980"/>
      <c r="ADQ152" s="980"/>
      <c r="ADR152" s="980"/>
      <c r="ADS152" s="980"/>
      <c r="ADT152" s="980"/>
      <c r="ADU152" s="980"/>
      <c r="ADV152" s="980"/>
      <c r="ADW152" s="980"/>
      <c r="ADX152" s="980"/>
      <c r="ADY152" s="980"/>
      <c r="ADZ152" s="980"/>
      <c r="AEA152" s="980"/>
      <c r="AEB152" s="980"/>
      <c r="AEC152" s="980"/>
      <c r="AED152" s="980"/>
      <c r="AEE152" s="980"/>
      <c r="AEF152" s="980"/>
      <c r="AEG152" s="980"/>
      <c r="AEH152" s="980"/>
      <c r="AEI152" s="980"/>
      <c r="AEJ152" s="980"/>
      <c r="AEK152" s="980"/>
      <c r="AEL152" s="980"/>
      <c r="AEM152" s="980"/>
      <c r="AEN152" s="980"/>
      <c r="AEO152" s="980"/>
      <c r="AEP152" s="980"/>
      <c r="AEQ152" s="980"/>
      <c r="AER152" s="980"/>
      <c r="AES152" s="980"/>
      <c r="AET152" s="980"/>
      <c r="AEU152" s="980"/>
      <c r="AEV152" s="980"/>
      <c r="AEW152" s="980"/>
      <c r="AEX152" s="980"/>
      <c r="AEY152" s="980"/>
      <c r="AEZ152" s="980"/>
      <c r="AFA152" s="980"/>
      <c r="AFB152" s="980"/>
      <c r="AFC152" s="980"/>
      <c r="AFD152" s="980"/>
      <c r="AFE152" s="980"/>
      <c r="AFF152" s="980"/>
      <c r="AFG152" s="980"/>
      <c r="AFH152" s="980"/>
      <c r="AFI152" s="980"/>
      <c r="AFJ152" s="980"/>
      <c r="AFK152" s="980"/>
      <c r="AFL152" s="980"/>
      <c r="AFM152" s="980"/>
      <c r="AFN152" s="980"/>
      <c r="AFO152" s="980"/>
      <c r="AFP152" s="980"/>
      <c r="AFQ152" s="980"/>
      <c r="AFR152" s="980"/>
      <c r="AFS152" s="980"/>
      <c r="AFT152" s="980"/>
      <c r="AFU152" s="980"/>
      <c r="AFV152" s="980"/>
      <c r="AFW152" s="980"/>
      <c r="AFX152" s="980"/>
      <c r="AFY152" s="980"/>
      <c r="AFZ152" s="980"/>
      <c r="AGA152" s="980"/>
      <c r="AGB152" s="980"/>
      <c r="AGC152" s="980"/>
      <c r="AGD152" s="980"/>
      <c r="AGE152" s="980"/>
      <c r="AGF152" s="980"/>
      <c r="AGG152" s="980"/>
      <c r="AGH152" s="980"/>
      <c r="AGI152" s="980"/>
      <c r="AGJ152" s="980"/>
      <c r="AGK152" s="980"/>
      <c r="AGL152" s="980"/>
      <c r="AGM152" s="980"/>
      <c r="AGN152" s="980"/>
      <c r="AGO152" s="980"/>
      <c r="AGP152" s="980"/>
      <c r="AGQ152" s="980"/>
      <c r="AGR152" s="980"/>
      <c r="AGS152" s="980"/>
      <c r="AGT152" s="980"/>
      <c r="AGU152" s="980"/>
      <c r="AGV152" s="980"/>
      <c r="AGW152" s="980"/>
      <c r="AGX152" s="980"/>
      <c r="AGY152" s="980"/>
      <c r="AGZ152" s="980"/>
      <c r="AHA152" s="980"/>
      <c r="AHB152" s="980"/>
      <c r="AHC152" s="980"/>
      <c r="AHD152" s="980"/>
      <c r="AHE152" s="980"/>
      <c r="AHF152" s="980"/>
      <c r="AHG152" s="980"/>
      <c r="AHH152" s="980"/>
      <c r="AHI152" s="980"/>
      <c r="AHJ152" s="980"/>
      <c r="AHK152" s="980"/>
      <c r="AHL152" s="980"/>
      <c r="AHM152" s="980"/>
      <c r="AHN152" s="980"/>
      <c r="AHO152" s="980"/>
      <c r="AHP152" s="980"/>
      <c r="AHQ152" s="980"/>
      <c r="AHR152" s="980"/>
      <c r="AHS152" s="980"/>
      <c r="AHT152" s="980"/>
      <c r="AHU152" s="980"/>
      <c r="AHV152" s="980"/>
      <c r="AHW152" s="980"/>
      <c r="AHX152" s="980"/>
      <c r="AHY152" s="980"/>
      <c r="AHZ152" s="980"/>
      <c r="AIA152" s="980"/>
      <c r="AIB152" s="980"/>
      <c r="AIC152" s="980"/>
      <c r="AID152" s="980"/>
      <c r="AIE152" s="980"/>
      <c r="AIF152" s="980"/>
      <c r="AIG152" s="980"/>
      <c r="AIH152" s="980"/>
      <c r="AII152" s="980"/>
      <c r="AIJ152" s="980"/>
      <c r="AIK152" s="980"/>
      <c r="AIL152" s="980"/>
      <c r="AIM152" s="980"/>
      <c r="AIN152" s="980"/>
      <c r="AIO152" s="980"/>
      <c r="AIP152" s="980"/>
      <c r="AIQ152" s="980"/>
      <c r="AIR152" s="980"/>
      <c r="AIS152" s="980"/>
      <c r="AIT152" s="980"/>
      <c r="AIU152" s="980"/>
      <c r="AIV152" s="980"/>
      <c r="AIW152" s="980"/>
      <c r="AIX152" s="980"/>
      <c r="AIY152" s="980"/>
      <c r="AIZ152" s="980"/>
      <c r="AJA152" s="980"/>
      <c r="AJB152" s="980"/>
      <c r="AJC152" s="980"/>
      <c r="AJD152" s="980"/>
      <c r="AJE152" s="980"/>
      <c r="AJF152" s="980"/>
      <c r="AJG152" s="980"/>
      <c r="AJH152" s="980"/>
      <c r="AJI152" s="980"/>
      <c r="AJJ152" s="980"/>
      <c r="AJK152" s="980"/>
      <c r="AJL152" s="980"/>
      <c r="AJM152" s="980"/>
      <c r="AJN152" s="980"/>
      <c r="AJO152" s="980"/>
      <c r="AJP152" s="980"/>
      <c r="AJQ152" s="980"/>
      <c r="AJR152" s="980"/>
      <c r="AJS152" s="980"/>
      <c r="AJT152" s="980"/>
      <c r="AJU152" s="980"/>
      <c r="AJV152" s="980"/>
      <c r="AJW152" s="980"/>
      <c r="AJX152" s="980"/>
      <c r="AJY152" s="980"/>
      <c r="AJZ152" s="980"/>
      <c r="AKA152" s="980"/>
      <c r="AKB152" s="980"/>
      <c r="AKC152" s="980"/>
      <c r="AKD152" s="980"/>
      <c r="AKE152" s="980"/>
      <c r="AKF152" s="980"/>
      <c r="AKG152" s="980"/>
      <c r="AKH152" s="980"/>
      <c r="AKI152" s="980"/>
      <c r="AKJ152" s="980"/>
      <c r="AKK152" s="980"/>
      <c r="AKL152" s="980"/>
      <c r="AKM152" s="980"/>
      <c r="AKN152" s="980"/>
      <c r="AKO152" s="980"/>
      <c r="AKP152" s="980"/>
      <c r="AKQ152" s="980"/>
      <c r="AKR152" s="980"/>
      <c r="AKS152" s="980"/>
      <c r="AKT152" s="980"/>
      <c r="AKU152" s="980"/>
      <c r="AKV152" s="980"/>
      <c r="AKW152" s="980"/>
      <c r="AKX152" s="980"/>
      <c r="AKY152" s="980"/>
      <c r="AKZ152" s="980"/>
      <c r="ALA152" s="980"/>
      <c r="ALB152" s="980"/>
      <c r="ALC152" s="980"/>
      <c r="ALD152" s="980"/>
      <c r="ALE152" s="980"/>
      <c r="ALF152" s="980"/>
      <c r="ALG152" s="980"/>
      <c r="ALH152" s="980"/>
      <c r="ALI152" s="980"/>
      <c r="ALJ152" s="980"/>
      <c r="ALK152" s="980"/>
      <c r="ALL152" s="980"/>
      <c r="ALM152" s="980"/>
      <c r="ALN152" s="980"/>
      <c r="ALO152" s="980"/>
      <c r="ALP152" s="980"/>
      <c r="ALQ152" s="980"/>
      <c r="ALR152" s="980"/>
      <c r="ALS152" s="980"/>
      <c r="ALT152" s="980"/>
      <c r="ALU152" s="980"/>
      <c r="ALV152" s="980"/>
      <c r="ALW152" s="980"/>
      <c r="ALX152" s="980"/>
      <c r="ALY152" s="980"/>
      <c r="ALZ152" s="980"/>
      <c r="AMA152" s="980"/>
      <c r="AMB152" s="980"/>
      <c r="AMC152" s="980"/>
      <c r="AMD152" s="980"/>
      <c r="AME152" s="980"/>
      <c r="AMF152" s="980"/>
      <c r="AMG152" s="980"/>
      <c r="AMH152" s="980"/>
      <c r="AMI152" s="980"/>
      <c r="AMJ152" s="980"/>
      <c r="AMK152" s="980"/>
      <c r="AML152" s="980"/>
    </row>
    <row r="153" spans="1:1026" s="829" customFormat="1" ht="30" customHeight="1" outlineLevel="1">
      <c r="A153" s="951"/>
      <c r="B153" s="957" t="s">
        <v>363</v>
      </c>
      <c r="C153" s="958"/>
      <c r="D153" s="415" t="s">
        <v>364</v>
      </c>
      <c r="E153" s="416"/>
      <c r="F153" s="959"/>
      <c r="G153" s="960"/>
      <c r="H153" s="961"/>
      <c r="I153" s="951"/>
      <c r="J153" s="978"/>
      <c r="K153" s="979"/>
    </row>
    <row r="154" spans="1:1026" s="830" customFormat="1" ht="53.25" customHeight="1" outlineLevel="1">
      <c r="A154" s="844"/>
      <c r="B154" s="962" t="s">
        <v>365</v>
      </c>
      <c r="C154" s="963" t="s">
        <v>366</v>
      </c>
      <c r="D154" s="419" t="s">
        <v>367</v>
      </c>
      <c r="E154" s="414" t="s">
        <v>60</v>
      </c>
      <c r="F154" s="964">
        <f>Plan1!D105</f>
        <v>1</v>
      </c>
      <c r="G154" s="893">
        <f t="shared" ref="G154:G166" si="25">K154</f>
        <v>5550.24</v>
      </c>
      <c r="H154" s="883">
        <f t="shared" ref="H154:H166" si="26">F154*G154</f>
        <v>5550.24</v>
      </c>
      <c r="I154" s="844"/>
      <c r="J154" s="981">
        <v>4383.7299999999996</v>
      </c>
      <c r="K154" s="842">
        <f>ROUND(J154*(1+$H$14),2)</f>
        <v>5550.24</v>
      </c>
    </row>
    <row r="155" spans="1:1026" s="830" customFormat="1" ht="49.5" customHeight="1" outlineLevel="1">
      <c r="A155" s="844"/>
      <c r="B155" s="962" t="s">
        <v>368</v>
      </c>
      <c r="C155" s="963" t="s">
        <v>369</v>
      </c>
      <c r="D155" s="413" t="s">
        <v>370</v>
      </c>
      <c r="E155" s="414" t="s">
        <v>60</v>
      </c>
      <c r="F155" s="964">
        <f>Plan1!D106</f>
        <v>1</v>
      </c>
      <c r="G155" s="893">
        <f t="shared" si="25"/>
        <v>5474.35</v>
      </c>
      <c r="H155" s="883">
        <f t="shared" si="26"/>
        <v>5474.35</v>
      </c>
      <c r="I155" s="844"/>
      <c r="J155" s="981">
        <v>4323.79</v>
      </c>
      <c r="K155" s="842">
        <f>ROUND(J155*(1+$H$14),2)</f>
        <v>5474.35</v>
      </c>
    </row>
    <row r="156" spans="1:1026" s="830" customFormat="1" ht="40.5" customHeight="1" outlineLevel="1">
      <c r="A156" s="844"/>
      <c r="B156" s="962" t="s">
        <v>371</v>
      </c>
      <c r="C156" s="963" t="s">
        <v>372</v>
      </c>
      <c r="D156" s="413" t="s">
        <v>373</v>
      </c>
      <c r="E156" s="414" t="s">
        <v>60</v>
      </c>
      <c r="F156" s="964">
        <f>Plan1!D107</f>
        <v>1</v>
      </c>
      <c r="G156" s="893">
        <f t="shared" si="25"/>
        <v>9668.5300000000007</v>
      </c>
      <c r="H156" s="883">
        <f t="shared" si="26"/>
        <v>9668.5300000000007</v>
      </c>
      <c r="I156" s="844"/>
      <c r="J156" s="981">
        <v>7636.47</v>
      </c>
      <c r="K156" s="842">
        <f>ROUND(J156*(1+$H$14),2)</f>
        <v>9668.5300000000007</v>
      </c>
    </row>
    <row r="157" spans="1:1026" s="829" customFormat="1" ht="24.95" customHeight="1" outlineLevel="1">
      <c r="A157" s="951"/>
      <c r="B157" s="957" t="s">
        <v>374</v>
      </c>
      <c r="C157" s="958"/>
      <c r="D157" s="415" t="s">
        <v>375</v>
      </c>
      <c r="E157" s="416"/>
      <c r="F157" s="965"/>
      <c r="G157" s="960">
        <f t="shared" si="25"/>
        <v>0</v>
      </c>
      <c r="H157" s="961">
        <f t="shared" si="26"/>
        <v>0</v>
      </c>
      <c r="I157" s="951"/>
      <c r="J157" s="978"/>
      <c r="K157" s="979"/>
    </row>
    <row r="158" spans="1:1026" s="830" customFormat="1" ht="54.75" customHeight="1" outlineLevel="1">
      <c r="A158" s="844"/>
      <c r="B158" s="962" t="s">
        <v>376</v>
      </c>
      <c r="C158" s="963" t="s">
        <v>377</v>
      </c>
      <c r="D158" s="413" t="s">
        <v>378</v>
      </c>
      <c r="E158" s="414" t="s">
        <v>60</v>
      </c>
      <c r="F158" s="964">
        <f>Plan1!D109</f>
        <v>1</v>
      </c>
      <c r="G158" s="893">
        <f t="shared" si="25"/>
        <v>630.1</v>
      </c>
      <c r="H158" s="883">
        <f t="shared" si="26"/>
        <v>630.1</v>
      </c>
      <c r="I158" s="844"/>
      <c r="J158" s="981">
        <v>497.67</v>
      </c>
      <c r="K158" s="842">
        <f t="shared" ref="K158:K215" si="27">ROUND(J158*(1+$H$14),2)</f>
        <v>630.1</v>
      </c>
    </row>
    <row r="159" spans="1:1026" s="829" customFormat="1" ht="24.95" customHeight="1" outlineLevel="1">
      <c r="A159" s="951"/>
      <c r="B159" s="957" t="s">
        <v>379</v>
      </c>
      <c r="C159" s="958"/>
      <c r="D159" s="415" t="s">
        <v>380</v>
      </c>
      <c r="E159" s="416"/>
      <c r="F159" s="965"/>
      <c r="G159" s="960"/>
      <c r="H159" s="961"/>
      <c r="I159" s="951"/>
      <c r="J159" s="978"/>
      <c r="K159" s="979"/>
    </row>
    <row r="160" spans="1:1026" s="830" customFormat="1" ht="40.5" customHeight="1" outlineLevel="1">
      <c r="A160" s="844"/>
      <c r="B160" s="962" t="s">
        <v>381</v>
      </c>
      <c r="C160" s="963" t="s">
        <v>382</v>
      </c>
      <c r="D160" s="413" t="s">
        <v>383</v>
      </c>
      <c r="E160" s="414" t="s">
        <v>60</v>
      </c>
      <c r="F160" s="964">
        <f>Plan1!D111</f>
        <v>22</v>
      </c>
      <c r="G160" s="893">
        <f t="shared" si="25"/>
        <v>728.03</v>
      </c>
      <c r="H160" s="883">
        <f t="shared" si="26"/>
        <v>16016.66</v>
      </c>
      <c r="I160" s="844"/>
      <c r="J160" s="981">
        <v>575.02</v>
      </c>
      <c r="K160" s="842">
        <f t="shared" si="27"/>
        <v>728.03</v>
      </c>
    </row>
    <row r="161" spans="1:1026" s="831" customFormat="1" ht="24.95" customHeight="1" outlineLevel="1">
      <c r="A161" s="900"/>
      <c r="B161" s="966" t="s">
        <v>384</v>
      </c>
      <c r="C161" s="927"/>
      <c r="D161" s="417" t="s">
        <v>385</v>
      </c>
      <c r="E161" s="418"/>
      <c r="F161" s="967"/>
      <c r="G161" s="904"/>
      <c r="H161" s="905"/>
      <c r="I161" s="900"/>
      <c r="J161" s="917"/>
      <c r="K161" s="918"/>
    </row>
    <row r="162" spans="1:1026" s="830" customFormat="1" ht="44.25" customHeight="1" outlineLevel="1">
      <c r="A162" s="844"/>
      <c r="B162" s="968" t="s">
        <v>386</v>
      </c>
      <c r="C162" s="969" t="s">
        <v>387</v>
      </c>
      <c r="D162" s="419" t="s">
        <v>388</v>
      </c>
      <c r="E162" s="420" t="s">
        <v>38</v>
      </c>
      <c r="F162" s="970">
        <f>Plan1!D113</f>
        <v>115</v>
      </c>
      <c r="G162" s="893">
        <f t="shared" si="25"/>
        <v>53.89</v>
      </c>
      <c r="H162" s="883">
        <f t="shared" si="26"/>
        <v>6197.35</v>
      </c>
      <c r="I162" s="844"/>
      <c r="J162" s="982">
        <v>42.56</v>
      </c>
      <c r="K162" s="842">
        <f t="shared" si="27"/>
        <v>53.89</v>
      </c>
    </row>
    <row r="163" spans="1:1026" s="831" customFormat="1" ht="24.95" customHeight="1" outlineLevel="1">
      <c r="A163" s="900"/>
      <c r="B163" s="966" t="s">
        <v>389</v>
      </c>
      <c r="C163" s="927"/>
      <c r="D163" s="417" t="s">
        <v>390</v>
      </c>
      <c r="E163" s="418"/>
      <c r="F163" s="967"/>
      <c r="G163" s="904"/>
      <c r="H163" s="905"/>
      <c r="I163" s="900"/>
      <c r="J163" s="917"/>
      <c r="K163" s="918"/>
    </row>
    <row r="164" spans="1:1026" s="830" customFormat="1" ht="63" customHeight="1" outlineLevel="1">
      <c r="A164" s="844"/>
      <c r="B164" s="962" t="s">
        <v>391</v>
      </c>
      <c r="C164" s="963" t="s">
        <v>392</v>
      </c>
      <c r="D164" s="421" t="s">
        <v>393</v>
      </c>
      <c r="E164" s="414" t="s">
        <v>60</v>
      </c>
      <c r="F164" s="964">
        <f>Plan1!D115</f>
        <v>12</v>
      </c>
      <c r="G164" s="893">
        <f t="shared" si="25"/>
        <v>543.57000000000005</v>
      </c>
      <c r="H164" s="883">
        <f t="shared" si="26"/>
        <v>6522.84</v>
      </c>
      <c r="I164" s="844"/>
      <c r="J164" s="981">
        <v>429.33</v>
      </c>
      <c r="K164" s="842">
        <f t="shared" si="27"/>
        <v>543.57000000000005</v>
      </c>
    </row>
    <row r="165" spans="1:1026" s="830" customFormat="1" ht="58.5" customHeight="1" outlineLevel="1">
      <c r="A165" s="844"/>
      <c r="B165" s="962" t="s">
        <v>394</v>
      </c>
      <c r="C165" s="963" t="s">
        <v>395</v>
      </c>
      <c r="D165" s="421" t="s">
        <v>396</v>
      </c>
      <c r="E165" s="414" t="s">
        <v>60</v>
      </c>
      <c r="F165" s="964">
        <f>Plan1!D116</f>
        <v>2</v>
      </c>
      <c r="G165" s="893">
        <f t="shared" si="25"/>
        <v>572.59</v>
      </c>
      <c r="H165" s="883">
        <f t="shared" si="26"/>
        <v>1145.18</v>
      </c>
      <c r="I165" s="844"/>
      <c r="J165" s="981">
        <v>452.25</v>
      </c>
      <c r="K165" s="842">
        <f t="shared" si="27"/>
        <v>572.59</v>
      </c>
    </row>
    <row r="166" spans="1:1026" s="830" customFormat="1" ht="58.5" customHeight="1" outlineLevel="1">
      <c r="A166" s="844"/>
      <c r="B166" s="962" t="s">
        <v>397</v>
      </c>
      <c r="C166" s="963" t="s">
        <v>398</v>
      </c>
      <c r="D166" s="413" t="s">
        <v>399</v>
      </c>
      <c r="E166" s="414" t="s">
        <v>60</v>
      </c>
      <c r="F166" s="964">
        <f>Plan1!D117</f>
        <v>2</v>
      </c>
      <c r="G166" s="893">
        <f t="shared" si="25"/>
        <v>1111.96</v>
      </c>
      <c r="H166" s="883">
        <f t="shared" si="26"/>
        <v>2223.92</v>
      </c>
      <c r="I166" s="844"/>
      <c r="J166" s="981">
        <v>878.26</v>
      </c>
      <c r="K166" s="842">
        <f t="shared" si="27"/>
        <v>1111.96</v>
      </c>
    </row>
    <row r="167" spans="1:1026" ht="24.95" customHeight="1">
      <c r="A167" s="844"/>
      <c r="B167" s="875" t="s">
        <v>400</v>
      </c>
      <c r="C167" s="875"/>
      <c r="D167" s="417" t="s">
        <v>401</v>
      </c>
      <c r="E167" s="422"/>
      <c r="F167" s="971"/>
      <c r="G167" s="877"/>
      <c r="H167" s="878"/>
      <c r="I167" s="844"/>
    </row>
    <row r="168" spans="1:1026" ht="39.75" customHeight="1">
      <c r="A168" s="844"/>
      <c r="B168" s="962" t="s">
        <v>402</v>
      </c>
      <c r="C168" s="963" t="s">
        <v>403</v>
      </c>
      <c r="D168" s="413" t="s">
        <v>404</v>
      </c>
      <c r="E168" s="414" t="s">
        <v>38</v>
      </c>
      <c r="F168" s="964">
        <f>Plan1!D119</f>
        <v>80</v>
      </c>
      <c r="G168" s="893">
        <f>K168</f>
        <v>19.7</v>
      </c>
      <c r="H168" s="883">
        <f>F168*G168</f>
        <v>1576</v>
      </c>
      <c r="I168" s="844"/>
      <c r="J168" s="981">
        <v>15.56</v>
      </c>
      <c r="K168" s="842">
        <f t="shared" ref="K168" si="28">ROUND(J168*(1+$H$14),2)</f>
        <v>19.7</v>
      </c>
    </row>
    <row r="169" spans="1:1026" ht="39.75" customHeight="1">
      <c r="A169" s="844"/>
      <c r="B169" s="962" t="s">
        <v>405</v>
      </c>
      <c r="C169" s="414" t="s">
        <v>406</v>
      </c>
      <c r="D169" s="423" t="s">
        <v>407</v>
      </c>
      <c r="E169" s="414" t="s">
        <v>38</v>
      </c>
      <c r="F169" s="964">
        <f>Plan1!D120</f>
        <v>600</v>
      </c>
      <c r="G169" s="893">
        <f>K169</f>
        <v>6.37</v>
      </c>
      <c r="H169" s="883">
        <f>F169*G169</f>
        <v>3822</v>
      </c>
      <c r="I169" s="844"/>
      <c r="J169" s="982">
        <v>5.03</v>
      </c>
      <c r="K169" s="842">
        <f t="shared" si="27"/>
        <v>6.37</v>
      </c>
    </row>
    <row r="170" spans="1:1026" ht="36" customHeight="1">
      <c r="A170" s="844"/>
      <c r="B170" s="962" t="s">
        <v>408</v>
      </c>
      <c r="C170" s="963" t="s">
        <v>409</v>
      </c>
      <c r="D170" s="413" t="s">
        <v>410</v>
      </c>
      <c r="E170" s="414" t="s">
        <v>38</v>
      </c>
      <c r="F170" s="964">
        <f>Plan1!D121</f>
        <v>40</v>
      </c>
      <c r="G170" s="893">
        <f>K170</f>
        <v>44.43</v>
      </c>
      <c r="H170" s="883">
        <f>F170*G170</f>
        <v>1777.2</v>
      </c>
      <c r="I170" s="844"/>
      <c r="J170" s="981">
        <v>35.090000000000003</v>
      </c>
      <c r="K170" s="842">
        <f t="shared" si="27"/>
        <v>44.43</v>
      </c>
    </row>
    <row r="171" spans="1:1026" ht="36" customHeight="1">
      <c r="A171" s="844"/>
      <c r="B171" s="962" t="s">
        <v>411</v>
      </c>
      <c r="C171" s="414" t="s">
        <v>412</v>
      </c>
      <c r="D171" s="423" t="s">
        <v>413</v>
      </c>
      <c r="E171" s="414" t="s">
        <v>38</v>
      </c>
      <c r="F171" s="964">
        <f>Plan1!D122</f>
        <v>150</v>
      </c>
      <c r="G171" s="893">
        <f>K171</f>
        <v>19.68</v>
      </c>
      <c r="H171" s="883">
        <f>F171*G171</f>
        <v>2952</v>
      </c>
      <c r="I171" s="844"/>
      <c r="J171" s="981">
        <v>15.54</v>
      </c>
      <c r="K171" s="842">
        <f t="shared" si="27"/>
        <v>19.68</v>
      </c>
    </row>
    <row r="172" spans="1:1026" s="828" customFormat="1" ht="36" customHeight="1">
      <c r="A172" s="951"/>
      <c r="B172" s="972" t="s">
        <v>414</v>
      </c>
      <c r="C172" s="424"/>
      <c r="D172" s="415" t="s">
        <v>415</v>
      </c>
      <c r="E172" s="424"/>
      <c r="F172" s="973"/>
      <c r="G172" s="960"/>
      <c r="H172" s="961"/>
      <c r="I172" s="951"/>
      <c r="J172" s="983"/>
      <c r="K172" s="979"/>
      <c r="L172" s="980"/>
      <c r="M172" s="980"/>
      <c r="N172" s="980"/>
      <c r="O172" s="980"/>
      <c r="P172" s="980"/>
      <c r="Q172" s="980"/>
      <c r="R172" s="980"/>
      <c r="S172" s="980"/>
      <c r="T172" s="980"/>
      <c r="U172" s="980"/>
      <c r="V172" s="980"/>
      <c r="W172" s="980"/>
      <c r="X172" s="980"/>
      <c r="Y172" s="980"/>
      <c r="Z172" s="980"/>
      <c r="AA172" s="980"/>
      <c r="AB172" s="980"/>
      <c r="AC172" s="980"/>
      <c r="AD172" s="980"/>
      <c r="AE172" s="980"/>
      <c r="AF172" s="980"/>
      <c r="AG172" s="980"/>
      <c r="AH172" s="980"/>
      <c r="AI172" s="980"/>
      <c r="AJ172" s="980"/>
      <c r="AK172" s="980"/>
      <c r="AL172" s="980"/>
      <c r="AM172" s="980"/>
      <c r="AN172" s="980"/>
      <c r="AO172" s="980"/>
      <c r="AP172" s="980"/>
      <c r="AQ172" s="980"/>
      <c r="AR172" s="980"/>
      <c r="AS172" s="980"/>
      <c r="AT172" s="980"/>
      <c r="AU172" s="980"/>
      <c r="AV172" s="980"/>
      <c r="AW172" s="980"/>
      <c r="AX172" s="980"/>
      <c r="AY172" s="980"/>
      <c r="AZ172" s="980"/>
      <c r="BA172" s="980"/>
      <c r="BB172" s="980"/>
      <c r="BC172" s="980"/>
      <c r="BD172" s="980"/>
      <c r="BE172" s="980"/>
      <c r="BF172" s="980"/>
      <c r="BG172" s="980"/>
      <c r="BH172" s="980"/>
      <c r="BI172" s="980"/>
      <c r="BJ172" s="980"/>
      <c r="BK172" s="980"/>
      <c r="BL172" s="980"/>
      <c r="BM172" s="980"/>
      <c r="BN172" s="980"/>
      <c r="BO172" s="980"/>
      <c r="BP172" s="980"/>
      <c r="BQ172" s="980"/>
      <c r="BR172" s="980"/>
      <c r="BS172" s="980"/>
      <c r="BT172" s="980"/>
      <c r="BU172" s="980"/>
      <c r="BV172" s="980"/>
      <c r="BW172" s="980"/>
      <c r="BX172" s="980"/>
      <c r="BY172" s="980"/>
      <c r="BZ172" s="980"/>
      <c r="CA172" s="980"/>
      <c r="CB172" s="980"/>
      <c r="CC172" s="980"/>
      <c r="CD172" s="980"/>
      <c r="CE172" s="980"/>
      <c r="CF172" s="980"/>
      <c r="CG172" s="980"/>
      <c r="CH172" s="980"/>
      <c r="CI172" s="980"/>
      <c r="CJ172" s="980"/>
      <c r="CK172" s="980"/>
      <c r="CL172" s="980"/>
      <c r="CM172" s="980"/>
      <c r="CN172" s="980"/>
      <c r="CO172" s="980"/>
      <c r="CP172" s="980"/>
      <c r="CQ172" s="980"/>
      <c r="CR172" s="980"/>
      <c r="CS172" s="980"/>
      <c r="CT172" s="980"/>
      <c r="CU172" s="980"/>
      <c r="CV172" s="980"/>
      <c r="CW172" s="980"/>
      <c r="CX172" s="980"/>
      <c r="CY172" s="980"/>
      <c r="CZ172" s="980"/>
      <c r="DA172" s="980"/>
      <c r="DB172" s="980"/>
      <c r="DC172" s="980"/>
      <c r="DD172" s="980"/>
      <c r="DE172" s="980"/>
      <c r="DF172" s="980"/>
      <c r="DG172" s="980"/>
      <c r="DH172" s="980"/>
      <c r="DI172" s="980"/>
      <c r="DJ172" s="980"/>
      <c r="DK172" s="980"/>
      <c r="DL172" s="980"/>
      <c r="DM172" s="980"/>
      <c r="DN172" s="980"/>
      <c r="DO172" s="980"/>
      <c r="DP172" s="980"/>
      <c r="DQ172" s="980"/>
      <c r="DR172" s="980"/>
      <c r="DS172" s="980"/>
      <c r="DT172" s="980"/>
      <c r="DU172" s="980"/>
      <c r="DV172" s="980"/>
      <c r="DW172" s="980"/>
      <c r="DX172" s="980"/>
      <c r="DY172" s="980"/>
      <c r="DZ172" s="980"/>
      <c r="EA172" s="980"/>
      <c r="EB172" s="980"/>
      <c r="EC172" s="980"/>
      <c r="ED172" s="980"/>
      <c r="EE172" s="980"/>
      <c r="EF172" s="980"/>
      <c r="EG172" s="980"/>
      <c r="EH172" s="980"/>
      <c r="EI172" s="980"/>
      <c r="EJ172" s="980"/>
      <c r="EK172" s="980"/>
      <c r="EL172" s="980"/>
      <c r="EM172" s="980"/>
      <c r="EN172" s="980"/>
      <c r="EO172" s="980"/>
      <c r="EP172" s="980"/>
      <c r="EQ172" s="980"/>
      <c r="ER172" s="980"/>
      <c r="ES172" s="980"/>
      <c r="ET172" s="980"/>
      <c r="EU172" s="980"/>
      <c r="EV172" s="980"/>
      <c r="EW172" s="980"/>
      <c r="EX172" s="980"/>
      <c r="EY172" s="980"/>
      <c r="EZ172" s="980"/>
      <c r="FA172" s="980"/>
      <c r="FB172" s="980"/>
      <c r="FC172" s="980"/>
      <c r="FD172" s="980"/>
      <c r="FE172" s="980"/>
      <c r="FF172" s="980"/>
      <c r="FG172" s="980"/>
      <c r="FH172" s="980"/>
      <c r="FI172" s="980"/>
      <c r="FJ172" s="980"/>
      <c r="FK172" s="980"/>
      <c r="FL172" s="980"/>
      <c r="FM172" s="980"/>
      <c r="FN172" s="980"/>
      <c r="FO172" s="980"/>
      <c r="FP172" s="980"/>
      <c r="FQ172" s="980"/>
      <c r="FR172" s="980"/>
      <c r="FS172" s="980"/>
      <c r="FT172" s="980"/>
      <c r="FU172" s="980"/>
      <c r="FV172" s="980"/>
      <c r="FW172" s="980"/>
      <c r="FX172" s="980"/>
      <c r="FY172" s="980"/>
      <c r="FZ172" s="980"/>
      <c r="GA172" s="980"/>
      <c r="GB172" s="980"/>
      <c r="GC172" s="980"/>
      <c r="GD172" s="980"/>
      <c r="GE172" s="980"/>
      <c r="GF172" s="980"/>
      <c r="GG172" s="980"/>
      <c r="GH172" s="980"/>
      <c r="GI172" s="980"/>
      <c r="GJ172" s="980"/>
      <c r="GK172" s="980"/>
      <c r="GL172" s="980"/>
      <c r="GM172" s="980"/>
      <c r="GN172" s="980"/>
      <c r="GO172" s="980"/>
      <c r="GP172" s="980"/>
      <c r="GQ172" s="980"/>
      <c r="GR172" s="980"/>
      <c r="GS172" s="980"/>
      <c r="GT172" s="980"/>
      <c r="GU172" s="980"/>
      <c r="GV172" s="980"/>
      <c r="GW172" s="980"/>
      <c r="GX172" s="980"/>
      <c r="GY172" s="980"/>
      <c r="GZ172" s="980"/>
      <c r="HA172" s="980"/>
      <c r="HB172" s="980"/>
      <c r="HC172" s="980"/>
      <c r="HD172" s="980"/>
      <c r="HE172" s="980"/>
      <c r="HF172" s="980"/>
      <c r="HG172" s="980"/>
      <c r="HH172" s="980"/>
      <c r="HI172" s="980"/>
      <c r="HJ172" s="980"/>
      <c r="HK172" s="980"/>
      <c r="HL172" s="980"/>
      <c r="HM172" s="980"/>
      <c r="HN172" s="980"/>
      <c r="HO172" s="980"/>
      <c r="HP172" s="980"/>
      <c r="HQ172" s="980"/>
      <c r="HR172" s="980"/>
      <c r="HS172" s="980"/>
      <c r="HT172" s="980"/>
      <c r="HU172" s="980"/>
      <c r="HV172" s="980"/>
      <c r="HW172" s="980"/>
      <c r="HX172" s="980"/>
      <c r="HY172" s="980"/>
      <c r="HZ172" s="980"/>
      <c r="IA172" s="980"/>
      <c r="IB172" s="980"/>
      <c r="IC172" s="980"/>
      <c r="ID172" s="980"/>
      <c r="IE172" s="980"/>
      <c r="IF172" s="980"/>
      <c r="IG172" s="980"/>
      <c r="IH172" s="980"/>
      <c r="II172" s="980"/>
      <c r="IJ172" s="980"/>
      <c r="IK172" s="980"/>
      <c r="IL172" s="980"/>
      <c r="IM172" s="980"/>
      <c r="IN172" s="980"/>
      <c r="IO172" s="980"/>
      <c r="IP172" s="980"/>
      <c r="IQ172" s="980"/>
      <c r="IR172" s="980"/>
      <c r="IS172" s="980"/>
      <c r="IT172" s="980"/>
      <c r="IU172" s="980"/>
      <c r="IV172" s="980"/>
      <c r="IW172" s="980"/>
      <c r="IX172" s="980"/>
      <c r="IY172" s="980"/>
      <c r="IZ172" s="980"/>
      <c r="JA172" s="980"/>
      <c r="JB172" s="980"/>
      <c r="JC172" s="980"/>
      <c r="JD172" s="980"/>
      <c r="JE172" s="980"/>
      <c r="JF172" s="980"/>
      <c r="JG172" s="980"/>
      <c r="JH172" s="980"/>
      <c r="JI172" s="980"/>
      <c r="JJ172" s="980"/>
      <c r="JK172" s="980"/>
      <c r="JL172" s="980"/>
      <c r="JM172" s="980"/>
      <c r="JN172" s="980"/>
      <c r="JO172" s="980"/>
      <c r="JP172" s="980"/>
      <c r="JQ172" s="980"/>
      <c r="JR172" s="980"/>
      <c r="JS172" s="980"/>
      <c r="JT172" s="980"/>
      <c r="JU172" s="980"/>
      <c r="JV172" s="980"/>
      <c r="JW172" s="980"/>
      <c r="JX172" s="980"/>
      <c r="JY172" s="980"/>
      <c r="JZ172" s="980"/>
      <c r="KA172" s="980"/>
      <c r="KB172" s="980"/>
      <c r="KC172" s="980"/>
      <c r="KD172" s="980"/>
      <c r="KE172" s="980"/>
      <c r="KF172" s="980"/>
      <c r="KG172" s="980"/>
      <c r="KH172" s="980"/>
      <c r="KI172" s="980"/>
      <c r="KJ172" s="980"/>
      <c r="KK172" s="980"/>
      <c r="KL172" s="980"/>
      <c r="KM172" s="980"/>
      <c r="KN172" s="980"/>
      <c r="KO172" s="980"/>
      <c r="KP172" s="980"/>
      <c r="KQ172" s="980"/>
      <c r="KR172" s="980"/>
      <c r="KS172" s="980"/>
      <c r="KT172" s="980"/>
      <c r="KU172" s="980"/>
      <c r="KV172" s="980"/>
      <c r="KW172" s="980"/>
      <c r="KX172" s="980"/>
      <c r="KY172" s="980"/>
      <c r="KZ172" s="980"/>
      <c r="LA172" s="980"/>
      <c r="LB172" s="980"/>
      <c r="LC172" s="980"/>
      <c r="LD172" s="980"/>
      <c r="LE172" s="980"/>
      <c r="LF172" s="980"/>
      <c r="LG172" s="980"/>
      <c r="LH172" s="980"/>
      <c r="LI172" s="980"/>
      <c r="LJ172" s="980"/>
      <c r="LK172" s="980"/>
      <c r="LL172" s="980"/>
      <c r="LM172" s="980"/>
      <c r="LN172" s="980"/>
      <c r="LO172" s="980"/>
      <c r="LP172" s="980"/>
      <c r="LQ172" s="980"/>
      <c r="LR172" s="980"/>
      <c r="LS172" s="980"/>
      <c r="LT172" s="980"/>
      <c r="LU172" s="980"/>
      <c r="LV172" s="980"/>
      <c r="LW172" s="980"/>
      <c r="LX172" s="980"/>
      <c r="LY172" s="980"/>
      <c r="LZ172" s="980"/>
      <c r="MA172" s="980"/>
      <c r="MB172" s="980"/>
      <c r="MC172" s="980"/>
      <c r="MD172" s="980"/>
      <c r="ME172" s="980"/>
      <c r="MF172" s="980"/>
      <c r="MG172" s="980"/>
      <c r="MH172" s="980"/>
      <c r="MI172" s="980"/>
      <c r="MJ172" s="980"/>
      <c r="MK172" s="980"/>
      <c r="ML172" s="980"/>
      <c r="MM172" s="980"/>
      <c r="MN172" s="980"/>
      <c r="MO172" s="980"/>
      <c r="MP172" s="980"/>
      <c r="MQ172" s="980"/>
      <c r="MR172" s="980"/>
      <c r="MS172" s="980"/>
      <c r="MT172" s="980"/>
      <c r="MU172" s="980"/>
      <c r="MV172" s="980"/>
      <c r="MW172" s="980"/>
      <c r="MX172" s="980"/>
      <c r="MY172" s="980"/>
      <c r="MZ172" s="980"/>
      <c r="NA172" s="980"/>
      <c r="NB172" s="980"/>
      <c r="NC172" s="980"/>
      <c r="ND172" s="980"/>
      <c r="NE172" s="980"/>
      <c r="NF172" s="980"/>
      <c r="NG172" s="980"/>
      <c r="NH172" s="980"/>
      <c r="NI172" s="980"/>
      <c r="NJ172" s="980"/>
      <c r="NK172" s="980"/>
      <c r="NL172" s="980"/>
      <c r="NM172" s="980"/>
      <c r="NN172" s="980"/>
      <c r="NO172" s="980"/>
      <c r="NP172" s="980"/>
      <c r="NQ172" s="980"/>
      <c r="NR172" s="980"/>
      <c r="NS172" s="980"/>
      <c r="NT172" s="980"/>
      <c r="NU172" s="980"/>
      <c r="NV172" s="980"/>
      <c r="NW172" s="980"/>
      <c r="NX172" s="980"/>
      <c r="NY172" s="980"/>
      <c r="NZ172" s="980"/>
      <c r="OA172" s="980"/>
      <c r="OB172" s="980"/>
      <c r="OC172" s="980"/>
      <c r="OD172" s="980"/>
      <c r="OE172" s="980"/>
      <c r="OF172" s="980"/>
      <c r="OG172" s="980"/>
      <c r="OH172" s="980"/>
      <c r="OI172" s="980"/>
      <c r="OJ172" s="980"/>
      <c r="OK172" s="980"/>
      <c r="OL172" s="980"/>
      <c r="OM172" s="980"/>
      <c r="ON172" s="980"/>
      <c r="OO172" s="980"/>
      <c r="OP172" s="980"/>
      <c r="OQ172" s="980"/>
      <c r="OR172" s="980"/>
      <c r="OS172" s="980"/>
      <c r="OT172" s="980"/>
      <c r="OU172" s="980"/>
      <c r="OV172" s="980"/>
      <c r="OW172" s="980"/>
      <c r="OX172" s="980"/>
      <c r="OY172" s="980"/>
      <c r="OZ172" s="980"/>
      <c r="PA172" s="980"/>
      <c r="PB172" s="980"/>
      <c r="PC172" s="980"/>
      <c r="PD172" s="980"/>
      <c r="PE172" s="980"/>
      <c r="PF172" s="980"/>
      <c r="PG172" s="980"/>
      <c r="PH172" s="980"/>
      <c r="PI172" s="980"/>
      <c r="PJ172" s="980"/>
      <c r="PK172" s="980"/>
      <c r="PL172" s="980"/>
      <c r="PM172" s="980"/>
      <c r="PN172" s="980"/>
      <c r="PO172" s="980"/>
      <c r="PP172" s="980"/>
      <c r="PQ172" s="980"/>
      <c r="PR172" s="980"/>
      <c r="PS172" s="980"/>
      <c r="PT172" s="980"/>
      <c r="PU172" s="980"/>
      <c r="PV172" s="980"/>
      <c r="PW172" s="980"/>
      <c r="PX172" s="980"/>
      <c r="PY172" s="980"/>
      <c r="PZ172" s="980"/>
      <c r="QA172" s="980"/>
      <c r="QB172" s="980"/>
      <c r="QC172" s="980"/>
      <c r="QD172" s="980"/>
      <c r="QE172" s="980"/>
      <c r="QF172" s="980"/>
      <c r="QG172" s="980"/>
      <c r="QH172" s="980"/>
      <c r="QI172" s="980"/>
      <c r="QJ172" s="980"/>
      <c r="QK172" s="980"/>
      <c r="QL172" s="980"/>
      <c r="QM172" s="980"/>
      <c r="QN172" s="980"/>
      <c r="QO172" s="980"/>
      <c r="QP172" s="980"/>
      <c r="QQ172" s="980"/>
      <c r="QR172" s="980"/>
      <c r="QS172" s="980"/>
      <c r="QT172" s="980"/>
      <c r="QU172" s="980"/>
      <c r="QV172" s="980"/>
      <c r="QW172" s="980"/>
      <c r="QX172" s="980"/>
      <c r="QY172" s="980"/>
      <c r="QZ172" s="980"/>
      <c r="RA172" s="980"/>
      <c r="RB172" s="980"/>
      <c r="RC172" s="980"/>
      <c r="RD172" s="980"/>
      <c r="RE172" s="980"/>
      <c r="RF172" s="980"/>
      <c r="RG172" s="980"/>
      <c r="RH172" s="980"/>
      <c r="RI172" s="980"/>
      <c r="RJ172" s="980"/>
      <c r="RK172" s="980"/>
      <c r="RL172" s="980"/>
      <c r="RM172" s="980"/>
      <c r="RN172" s="980"/>
      <c r="RO172" s="980"/>
      <c r="RP172" s="980"/>
      <c r="RQ172" s="980"/>
      <c r="RR172" s="980"/>
      <c r="RS172" s="980"/>
      <c r="RT172" s="980"/>
      <c r="RU172" s="980"/>
      <c r="RV172" s="980"/>
      <c r="RW172" s="980"/>
      <c r="RX172" s="980"/>
      <c r="RY172" s="980"/>
      <c r="RZ172" s="980"/>
      <c r="SA172" s="980"/>
      <c r="SB172" s="980"/>
      <c r="SC172" s="980"/>
      <c r="SD172" s="980"/>
      <c r="SE172" s="980"/>
      <c r="SF172" s="980"/>
      <c r="SG172" s="980"/>
      <c r="SH172" s="980"/>
      <c r="SI172" s="980"/>
      <c r="SJ172" s="980"/>
      <c r="SK172" s="980"/>
      <c r="SL172" s="980"/>
      <c r="SM172" s="980"/>
      <c r="SN172" s="980"/>
      <c r="SO172" s="980"/>
      <c r="SP172" s="980"/>
      <c r="SQ172" s="980"/>
      <c r="SR172" s="980"/>
      <c r="SS172" s="980"/>
      <c r="ST172" s="980"/>
      <c r="SU172" s="980"/>
      <c r="SV172" s="980"/>
      <c r="SW172" s="980"/>
      <c r="SX172" s="980"/>
      <c r="SY172" s="980"/>
      <c r="SZ172" s="980"/>
      <c r="TA172" s="980"/>
      <c r="TB172" s="980"/>
      <c r="TC172" s="980"/>
      <c r="TD172" s="980"/>
      <c r="TE172" s="980"/>
      <c r="TF172" s="980"/>
      <c r="TG172" s="980"/>
      <c r="TH172" s="980"/>
      <c r="TI172" s="980"/>
      <c r="TJ172" s="980"/>
      <c r="TK172" s="980"/>
      <c r="TL172" s="980"/>
      <c r="TM172" s="980"/>
      <c r="TN172" s="980"/>
      <c r="TO172" s="980"/>
      <c r="TP172" s="980"/>
      <c r="TQ172" s="980"/>
      <c r="TR172" s="980"/>
      <c r="TS172" s="980"/>
      <c r="TT172" s="980"/>
      <c r="TU172" s="980"/>
      <c r="TV172" s="980"/>
      <c r="TW172" s="980"/>
      <c r="TX172" s="980"/>
      <c r="TY172" s="980"/>
      <c r="TZ172" s="980"/>
      <c r="UA172" s="980"/>
      <c r="UB172" s="980"/>
      <c r="UC172" s="980"/>
      <c r="UD172" s="980"/>
      <c r="UE172" s="980"/>
      <c r="UF172" s="980"/>
      <c r="UG172" s="980"/>
      <c r="UH172" s="980"/>
      <c r="UI172" s="980"/>
      <c r="UJ172" s="980"/>
      <c r="UK172" s="980"/>
      <c r="UL172" s="980"/>
      <c r="UM172" s="980"/>
      <c r="UN172" s="980"/>
      <c r="UO172" s="980"/>
      <c r="UP172" s="980"/>
      <c r="UQ172" s="980"/>
      <c r="UR172" s="980"/>
      <c r="US172" s="980"/>
      <c r="UT172" s="980"/>
      <c r="UU172" s="980"/>
      <c r="UV172" s="980"/>
      <c r="UW172" s="980"/>
      <c r="UX172" s="980"/>
      <c r="UY172" s="980"/>
      <c r="UZ172" s="980"/>
      <c r="VA172" s="980"/>
      <c r="VB172" s="980"/>
      <c r="VC172" s="980"/>
      <c r="VD172" s="980"/>
      <c r="VE172" s="980"/>
      <c r="VF172" s="980"/>
      <c r="VG172" s="980"/>
      <c r="VH172" s="980"/>
      <c r="VI172" s="980"/>
      <c r="VJ172" s="980"/>
      <c r="VK172" s="980"/>
      <c r="VL172" s="980"/>
      <c r="VM172" s="980"/>
      <c r="VN172" s="980"/>
      <c r="VO172" s="980"/>
      <c r="VP172" s="980"/>
      <c r="VQ172" s="980"/>
      <c r="VR172" s="980"/>
      <c r="VS172" s="980"/>
      <c r="VT172" s="980"/>
      <c r="VU172" s="980"/>
      <c r="VV172" s="980"/>
      <c r="VW172" s="980"/>
      <c r="VX172" s="980"/>
      <c r="VY172" s="980"/>
      <c r="VZ172" s="980"/>
      <c r="WA172" s="980"/>
      <c r="WB172" s="980"/>
      <c r="WC172" s="980"/>
      <c r="WD172" s="980"/>
      <c r="WE172" s="980"/>
      <c r="WF172" s="980"/>
      <c r="WG172" s="980"/>
      <c r="WH172" s="980"/>
      <c r="WI172" s="980"/>
      <c r="WJ172" s="980"/>
      <c r="WK172" s="980"/>
      <c r="WL172" s="980"/>
      <c r="WM172" s="980"/>
      <c r="WN172" s="980"/>
      <c r="WO172" s="980"/>
      <c r="WP172" s="980"/>
      <c r="WQ172" s="980"/>
      <c r="WR172" s="980"/>
      <c r="WS172" s="980"/>
      <c r="WT172" s="980"/>
      <c r="WU172" s="980"/>
      <c r="WV172" s="980"/>
      <c r="WW172" s="980"/>
      <c r="WX172" s="980"/>
      <c r="WY172" s="980"/>
      <c r="WZ172" s="980"/>
      <c r="XA172" s="980"/>
      <c r="XB172" s="980"/>
      <c r="XC172" s="980"/>
      <c r="XD172" s="980"/>
      <c r="XE172" s="980"/>
      <c r="XF172" s="980"/>
      <c r="XG172" s="980"/>
      <c r="XH172" s="980"/>
      <c r="XI172" s="980"/>
      <c r="XJ172" s="980"/>
      <c r="XK172" s="980"/>
      <c r="XL172" s="980"/>
      <c r="XM172" s="980"/>
      <c r="XN172" s="980"/>
      <c r="XO172" s="980"/>
      <c r="XP172" s="980"/>
      <c r="XQ172" s="980"/>
      <c r="XR172" s="980"/>
      <c r="XS172" s="980"/>
      <c r="XT172" s="980"/>
      <c r="XU172" s="980"/>
      <c r="XV172" s="980"/>
      <c r="XW172" s="980"/>
      <c r="XX172" s="980"/>
      <c r="XY172" s="980"/>
      <c r="XZ172" s="980"/>
      <c r="YA172" s="980"/>
      <c r="YB172" s="980"/>
      <c r="YC172" s="980"/>
      <c r="YD172" s="980"/>
      <c r="YE172" s="980"/>
      <c r="YF172" s="980"/>
      <c r="YG172" s="980"/>
      <c r="YH172" s="980"/>
      <c r="YI172" s="980"/>
      <c r="YJ172" s="980"/>
      <c r="YK172" s="980"/>
      <c r="YL172" s="980"/>
      <c r="YM172" s="980"/>
      <c r="YN172" s="980"/>
      <c r="YO172" s="980"/>
      <c r="YP172" s="980"/>
      <c r="YQ172" s="980"/>
      <c r="YR172" s="980"/>
      <c r="YS172" s="980"/>
      <c r="YT172" s="980"/>
      <c r="YU172" s="980"/>
      <c r="YV172" s="980"/>
      <c r="YW172" s="980"/>
      <c r="YX172" s="980"/>
      <c r="YY172" s="980"/>
      <c r="YZ172" s="980"/>
      <c r="ZA172" s="980"/>
      <c r="ZB172" s="980"/>
      <c r="ZC172" s="980"/>
      <c r="ZD172" s="980"/>
      <c r="ZE172" s="980"/>
      <c r="ZF172" s="980"/>
      <c r="ZG172" s="980"/>
      <c r="ZH172" s="980"/>
      <c r="ZI172" s="980"/>
      <c r="ZJ172" s="980"/>
      <c r="ZK172" s="980"/>
      <c r="ZL172" s="980"/>
      <c r="ZM172" s="980"/>
      <c r="ZN172" s="980"/>
      <c r="ZO172" s="980"/>
      <c r="ZP172" s="980"/>
      <c r="ZQ172" s="980"/>
      <c r="ZR172" s="980"/>
      <c r="ZS172" s="980"/>
      <c r="ZT172" s="980"/>
      <c r="ZU172" s="980"/>
      <c r="ZV172" s="980"/>
      <c r="ZW172" s="980"/>
      <c r="ZX172" s="980"/>
      <c r="ZY172" s="980"/>
      <c r="ZZ172" s="980"/>
      <c r="AAA172" s="980"/>
      <c r="AAB172" s="980"/>
      <c r="AAC172" s="980"/>
      <c r="AAD172" s="980"/>
      <c r="AAE172" s="980"/>
      <c r="AAF172" s="980"/>
      <c r="AAG172" s="980"/>
      <c r="AAH172" s="980"/>
      <c r="AAI172" s="980"/>
      <c r="AAJ172" s="980"/>
      <c r="AAK172" s="980"/>
      <c r="AAL172" s="980"/>
      <c r="AAM172" s="980"/>
      <c r="AAN172" s="980"/>
      <c r="AAO172" s="980"/>
      <c r="AAP172" s="980"/>
      <c r="AAQ172" s="980"/>
      <c r="AAR172" s="980"/>
      <c r="AAS172" s="980"/>
      <c r="AAT172" s="980"/>
      <c r="AAU172" s="980"/>
      <c r="AAV172" s="980"/>
      <c r="AAW172" s="980"/>
      <c r="AAX172" s="980"/>
      <c r="AAY172" s="980"/>
      <c r="AAZ172" s="980"/>
      <c r="ABA172" s="980"/>
      <c r="ABB172" s="980"/>
      <c r="ABC172" s="980"/>
      <c r="ABD172" s="980"/>
      <c r="ABE172" s="980"/>
      <c r="ABF172" s="980"/>
      <c r="ABG172" s="980"/>
      <c r="ABH172" s="980"/>
      <c r="ABI172" s="980"/>
      <c r="ABJ172" s="980"/>
      <c r="ABK172" s="980"/>
      <c r="ABL172" s="980"/>
      <c r="ABM172" s="980"/>
      <c r="ABN172" s="980"/>
      <c r="ABO172" s="980"/>
      <c r="ABP172" s="980"/>
      <c r="ABQ172" s="980"/>
      <c r="ABR172" s="980"/>
      <c r="ABS172" s="980"/>
      <c r="ABT172" s="980"/>
      <c r="ABU172" s="980"/>
      <c r="ABV172" s="980"/>
      <c r="ABW172" s="980"/>
      <c r="ABX172" s="980"/>
      <c r="ABY172" s="980"/>
      <c r="ABZ172" s="980"/>
      <c r="ACA172" s="980"/>
      <c r="ACB172" s="980"/>
      <c r="ACC172" s="980"/>
      <c r="ACD172" s="980"/>
      <c r="ACE172" s="980"/>
      <c r="ACF172" s="980"/>
      <c r="ACG172" s="980"/>
      <c r="ACH172" s="980"/>
      <c r="ACI172" s="980"/>
      <c r="ACJ172" s="980"/>
      <c r="ACK172" s="980"/>
      <c r="ACL172" s="980"/>
      <c r="ACM172" s="980"/>
      <c r="ACN172" s="980"/>
      <c r="ACO172" s="980"/>
      <c r="ACP172" s="980"/>
      <c r="ACQ172" s="980"/>
      <c r="ACR172" s="980"/>
      <c r="ACS172" s="980"/>
      <c r="ACT172" s="980"/>
      <c r="ACU172" s="980"/>
      <c r="ACV172" s="980"/>
      <c r="ACW172" s="980"/>
      <c r="ACX172" s="980"/>
      <c r="ACY172" s="980"/>
      <c r="ACZ172" s="980"/>
      <c r="ADA172" s="980"/>
      <c r="ADB172" s="980"/>
      <c r="ADC172" s="980"/>
      <c r="ADD172" s="980"/>
      <c r="ADE172" s="980"/>
      <c r="ADF172" s="980"/>
      <c r="ADG172" s="980"/>
      <c r="ADH172" s="980"/>
      <c r="ADI172" s="980"/>
      <c r="ADJ172" s="980"/>
      <c r="ADK172" s="980"/>
      <c r="ADL172" s="980"/>
      <c r="ADM172" s="980"/>
      <c r="ADN172" s="980"/>
      <c r="ADO172" s="980"/>
      <c r="ADP172" s="980"/>
      <c r="ADQ172" s="980"/>
      <c r="ADR172" s="980"/>
      <c r="ADS172" s="980"/>
      <c r="ADT172" s="980"/>
      <c r="ADU172" s="980"/>
      <c r="ADV172" s="980"/>
      <c r="ADW172" s="980"/>
      <c r="ADX172" s="980"/>
      <c r="ADY172" s="980"/>
      <c r="ADZ172" s="980"/>
      <c r="AEA172" s="980"/>
      <c r="AEB172" s="980"/>
      <c r="AEC172" s="980"/>
      <c r="AED172" s="980"/>
      <c r="AEE172" s="980"/>
      <c r="AEF172" s="980"/>
      <c r="AEG172" s="980"/>
      <c r="AEH172" s="980"/>
      <c r="AEI172" s="980"/>
      <c r="AEJ172" s="980"/>
      <c r="AEK172" s="980"/>
      <c r="AEL172" s="980"/>
      <c r="AEM172" s="980"/>
      <c r="AEN172" s="980"/>
      <c r="AEO172" s="980"/>
      <c r="AEP172" s="980"/>
      <c r="AEQ172" s="980"/>
      <c r="AER172" s="980"/>
      <c r="AES172" s="980"/>
      <c r="AET172" s="980"/>
      <c r="AEU172" s="980"/>
      <c r="AEV172" s="980"/>
      <c r="AEW172" s="980"/>
      <c r="AEX172" s="980"/>
      <c r="AEY172" s="980"/>
      <c r="AEZ172" s="980"/>
      <c r="AFA172" s="980"/>
      <c r="AFB172" s="980"/>
      <c r="AFC172" s="980"/>
      <c r="AFD172" s="980"/>
      <c r="AFE172" s="980"/>
      <c r="AFF172" s="980"/>
      <c r="AFG172" s="980"/>
      <c r="AFH172" s="980"/>
      <c r="AFI172" s="980"/>
      <c r="AFJ172" s="980"/>
      <c r="AFK172" s="980"/>
      <c r="AFL172" s="980"/>
      <c r="AFM172" s="980"/>
      <c r="AFN172" s="980"/>
      <c r="AFO172" s="980"/>
      <c r="AFP172" s="980"/>
      <c r="AFQ172" s="980"/>
      <c r="AFR172" s="980"/>
      <c r="AFS172" s="980"/>
      <c r="AFT172" s="980"/>
      <c r="AFU172" s="980"/>
      <c r="AFV172" s="980"/>
      <c r="AFW172" s="980"/>
      <c r="AFX172" s="980"/>
      <c r="AFY172" s="980"/>
      <c r="AFZ172" s="980"/>
      <c r="AGA172" s="980"/>
      <c r="AGB172" s="980"/>
      <c r="AGC172" s="980"/>
      <c r="AGD172" s="980"/>
      <c r="AGE172" s="980"/>
      <c r="AGF172" s="980"/>
      <c r="AGG172" s="980"/>
      <c r="AGH172" s="980"/>
      <c r="AGI172" s="980"/>
      <c r="AGJ172" s="980"/>
      <c r="AGK172" s="980"/>
      <c r="AGL172" s="980"/>
      <c r="AGM172" s="980"/>
      <c r="AGN172" s="980"/>
      <c r="AGO172" s="980"/>
      <c r="AGP172" s="980"/>
      <c r="AGQ172" s="980"/>
      <c r="AGR172" s="980"/>
      <c r="AGS172" s="980"/>
      <c r="AGT172" s="980"/>
      <c r="AGU172" s="980"/>
      <c r="AGV172" s="980"/>
      <c r="AGW172" s="980"/>
      <c r="AGX172" s="980"/>
      <c r="AGY172" s="980"/>
      <c r="AGZ172" s="980"/>
      <c r="AHA172" s="980"/>
      <c r="AHB172" s="980"/>
      <c r="AHC172" s="980"/>
      <c r="AHD172" s="980"/>
      <c r="AHE172" s="980"/>
      <c r="AHF172" s="980"/>
      <c r="AHG172" s="980"/>
      <c r="AHH172" s="980"/>
      <c r="AHI172" s="980"/>
      <c r="AHJ172" s="980"/>
      <c r="AHK172" s="980"/>
      <c r="AHL172" s="980"/>
      <c r="AHM172" s="980"/>
      <c r="AHN172" s="980"/>
      <c r="AHO172" s="980"/>
      <c r="AHP172" s="980"/>
      <c r="AHQ172" s="980"/>
      <c r="AHR172" s="980"/>
      <c r="AHS172" s="980"/>
      <c r="AHT172" s="980"/>
      <c r="AHU172" s="980"/>
      <c r="AHV172" s="980"/>
      <c r="AHW172" s="980"/>
      <c r="AHX172" s="980"/>
      <c r="AHY172" s="980"/>
      <c r="AHZ172" s="980"/>
      <c r="AIA172" s="980"/>
      <c r="AIB172" s="980"/>
      <c r="AIC172" s="980"/>
      <c r="AID172" s="980"/>
      <c r="AIE172" s="980"/>
      <c r="AIF172" s="980"/>
      <c r="AIG172" s="980"/>
      <c r="AIH172" s="980"/>
      <c r="AII172" s="980"/>
      <c r="AIJ172" s="980"/>
      <c r="AIK172" s="980"/>
      <c r="AIL172" s="980"/>
      <c r="AIM172" s="980"/>
      <c r="AIN172" s="980"/>
      <c r="AIO172" s="980"/>
      <c r="AIP172" s="980"/>
      <c r="AIQ172" s="980"/>
      <c r="AIR172" s="980"/>
      <c r="AIS172" s="980"/>
      <c r="AIT172" s="980"/>
      <c r="AIU172" s="980"/>
      <c r="AIV172" s="980"/>
      <c r="AIW172" s="980"/>
      <c r="AIX172" s="980"/>
      <c r="AIY172" s="980"/>
      <c r="AIZ172" s="980"/>
      <c r="AJA172" s="980"/>
      <c r="AJB172" s="980"/>
      <c r="AJC172" s="980"/>
      <c r="AJD172" s="980"/>
      <c r="AJE172" s="980"/>
      <c r="AJF172" s="980"/>
      <c r="AJG172" s="980"/>
      <c r="AJH172" s="980"/>
      <c r="AJI172" s="980"/>
      <c r="AJJ172" s="980"/>
      <c r="AJK172" s="980"/>
      <c r="AJL172" s="980"/>
      <c r="AJM172" s="980"/>
      <c r="AJN172" s="980"/>
      <c r="AJO172" s="980"/>
      <c r="AJP172" s="980"/>
      <c r="AJQ172" s="980"/>
      <c r="AJR172" s="980"/>
      <c r="AJS172" s="980"/>
      <c r="AJT172" s="980"/>
      <c r="AJU172" s="980"/>
      <c r="AJV172" s="980"/>
      <c r="AJW172" s="980"/>
      <c r="AJX172" s="980"/>
      <c r="AJY172" s="980"/>
      <c r="AJZ172" s="980"/>
      <c r="AKA172" s="980"/>
      <c r="AKB172" s="980"/>
      <c r="AKC172" s="980"/>
      <c r="AKD172" s="980"/>
      <c r="AKE172" s="980"/>
      <c r="AKF172" s="980"/>
      <c r="AKG172" s="980"/>
      <c r="AKH172" s="980"/>
      <c r="AKI172" s="980"/>
      <c r="AKJ172" s="980"/>
      <c r="AKK172" s="980"/>
      <c r="AKL172" s="980"/>
      <c r="AKM172" s="980"/>
      <c r="AKN172" s="980"/>
      <c r="AKO172" s="980"/>
      <c r="AKP172" s="980"/>
      <c r="AKQ172" s="980"/>
      <c r="AKR172" s="980"/>
      <c r="AKS172" s="980"/>
      <c r="AKT172" s="980"/>
      <c r="AKU172" s="980"/>
      <c r="AKV172" s="980"/>
      <c r="AKW172" s="980"/>
      <c r="AKX172" s="980"/>
      <c r="AKY172" s="980"/>
      <c r="AKZ172" s="980"/>
      <c r="ALA172" s="980"/>
      <c r="ALB172" s="980"/>
      <c r="ALC172" s="980"/>
      <c r="ALD172" s="980"/>
      <c r="ALE172" s="980"/>
      <c r="ALF172" s="980"/>
      <c r="ALG172" s="980"/>
      <c r="ALH172" s="980"/>
      <c r="ALI172" s="980"/>
      <c r="ALJ172" s="980"/>
      <c r="ALK172" s="980"/>
      <c r="ALL172" s="980"/>
      <c r="ALM172" s="980"/>
      <c r="ALN172" s="980"/>
      <c r="ALO172" s="980"/>
      <c r="ALP172" s="980"/>
      <c r="ALQ172" s="980"/>
      <c r="ALR172" s="980"/>
      <c r="ALS172" s="980"/>
      <c r="ALT172" s="980"/>
      <c r="ALU172" s="980"/>
      <c r="ALV172" s="980"/>
      <c r="ALW172" s="980"/>
      <c r="ALX172" s="980"/>
      <c r="ALY172" s="980"/>
      <c r="ALZ172" s="980"/>
      <c r="AMA172" s="980"/>
      <c r="AMB172" s="980"/>
      <c r="AMC172" s="980"/>
      <c r="AMD172" s="980"/>
      <c r="AME172" s="980"/>
      <c r="AMF172" s="980"/>
      <c r="AMG172" s="980"/>
      <c r="AMH172" s="980"/>
      <c r="AMI172" s="980"/>
      <c r="AMJ172" s="980"/>
      <c r="AMK172" s="980"/>
      <c r="AML172" s="980"/>
    </row>
    <row r="173" spans="1:1026" ht="36.75" customHeight="1">
      <c r="A173" s="844"/>
      <c r="B173" s="974" t="s">
        <v>416</v>
      </c>
      <c r="C173" s="414" t="s">
        <v>417</v>
      </c>
      <c r="D173" s="423" t="s">
        <v>418</v>
      </c>
      <c r="E173" s="414" t="s">
        <v>60</v>
      </c>
      <c r="F173" s="964">
        <f>Plan1!D124</f>
        <v>20</v>
      </c>
      <c r="G173" s="893">
        <f t="shared" ref="G173:G175" si="29">K173</f>
        <v>7.23</v>
      </c>
      <c r="H173" s="883">
        <f t="shared" ref="H173:H175" si="30">F173*G173</f>
        <v>144.60000000000002</v>
      </c>
      <c r="I173" s="844"/>
      <c r="J173" s="981">
        <v>5.71</v>
      </c>
      <c r="K173" s="842">
        <f t="shared" ref="K173:K175" si="31">ROUND(J173*(1+$H$14),2)</f>
        <v>7.23</v>
      </c>
    </row>
    <row r="174" spans="1:1026" ht="36.75" customHeight="1">
      <c r="A174" s="844"/>
      <c r="B174" s="974" t="s">
        <v>419</v>
      </c>
      <c r="C174" s="414" t="s">
        <v>420</v>
      </c>
      <c r="D174" s="423" t="s">
        <v>421</v>
      </c>
      <c r="E174" s="414" t="s">
        <v>60</v>
      </c>
      <c r="F174" s="964">
        <f>Plan1!D125</f>
        <v>15</v>
      </c>
      <c r="G174" s="893">
        <f t="shared" si="29"/>
        <v>4.0999999999999996</v>
      </c>
      <c r="H174" s="883">
        <f t="shared" si="30"/>
        <v>61.499999999999993</v>
      </c>
      <c r="I174" s="844"/>
      <c r="J174" s="981">
        <v>3.24</v>
      </c>
      <c r="K174" s="842">
        <f t="shared" si="31"/>
        <v>4.0999999999999996</v>
      </c>
    </row>
    <row r="175" spans="1:1026" ht="36.75" customHeight="1">
      <c r="A175" s="844"/>
      <c r="B175" s="974" t="s">
        <v>422</v>
      </c>
      <c r="C175" s="414" t="s">
        <v>423</v>
      </c>
      <c r="D175" s="423" t="s">
        <v>424</v>
      </c>
      <c r="E175" s="414" t="s">
        <v>60</v>
      </c>
      <c r="F175" s="964">
        <f>Plan1!D126</f>
        <v>25</v>
      </c>
      <c r="G175" s="893">
        <f t="shared" si="29"/>
        <v>5.01</v>
      </c>
      <c r="H175" s="883">
        <f t="shared" si="30"/>
        <v>125.25</v>
      </c>
      <c r="I175" s="844"/>
      <c r="J175" s="981">
        <v>3.96</v>
      </c>
      <c r="K175" s="842">
        <f t="shared" si="31"/>
        <v>5.01</v>
      </c>
    </row>
    <row r="176" spans="1:1026" ht="36.75" customHeight="1">
      <c r="A176" s="844"/>
      <c r="B176" s="974" t="s">
        <v>425</v>
      </c>
      <c r="C176" s="414" t="s">
        <v>426</v>
      </c>
      <c r="D176" s="423" t="s">
        <v>427</v>
      </c>
      <c r="E176" s="414" t="s">
        <v>60</v>
      </c>
      <c r="F176" s="964">
        <f>Plan1!D127</f>
        <v>90</v>
      </c>
      <c r="G176" s="893">
        <f t="shared" ref="G176:G182" si="32">K176</f>
        <v>4.79</v>
      </c>
      <c r="H176" s="883">
        <f t="shared" ref="H176:H182" si="33">F176*G176</f>
        <v>431.1</v>
      </c>
      <c r="I176" s="844"/>
      <c r="J176" s="981">
        <v>3.78</v>
      </c>
      <c r="K176" s="842">
        <f t="shared" ref="K176:K182" si="34">ROUND(J176*(1+$H$14),2)</f>
        <v>4.79</v>
      </c>
    </row>
    <row r="177" spans="1:1026" ht="36" customHeight="1">
      <c r="A177" s="844"/>
      <c r="B177" s="974" t="s">
        <v>428</v>
      </c>
      <c r="C177" s="414" t="s">
        <v>429</v>
      </c>
      <c r="D177" s="423" t="s">
        <v>430</v>
      </c>
      <c r="E177" s="414" t="s">
        <v>60</v>
      </c>
      <c r="F177" s="964">
        <f>Plan1!D128</f>
        <v>30</v>
      </c>
      <c r="G177" s="893">
        <f t="shared" si="32"/>
        <v>15.89</v>
      </c>
      <c r="H177" s="883">
        <f t="shared" si="33"/>
        <v>476.70000000000005</v>
      </c>
      <c r="I177" s="844"/>
      <c r="J177" s="981">
        <v>12.55</v>
      </c>
      <c r="K177" s="842">
        <f t="shared" si="34"/>
        <v>15.89</v>
      </c>
    </row>
    <row r="178" spans="1:1026" ht="36" customHeight="1">
      <c r="A178" s="844"/>
      <c r="B178" s="974" t="s">
        <v>431</v>
      </c>
      <c r="C178" s="420" t="s">
        <v>432</v>
      </c>
      <c r="D178" s="430" t="s">
        <v>433</v>
      </c>
      <c r="E178" s="414" t="s">
        <v>60</v>
      </c>
      <c r="F178" s="964">
        <f>Plan1!D129</f>
        <v>45</v>
      </c>
      <c r="G178" s="893">
        <f t="shared" si="32"/>
        <v>23.54</v>
      </c>
      <c r="H178" s="883">
        <f t="shared" si="33"/>
        <v>1059.3</v>
      </c>
      <c r="I178" s="844"/>
      <c r="J178" s="981">
        <v>18.59</v>
      </c>
      <c r="K178" s="842">
        <f t="shared" si="34"/>
        <v>23.54</v>
      </c>
    </row>
    <row r="179" spans="1:1026" ht="36" customHeight="1">
      <c r="A179" s="844"/>
      <c r="B179" s="974" t="s">
        <v>434</v>
      </c>
      <c r="C179" s="420" t="s">
        <v>435</v>
      </c>
      <c r="D179" s="431" t="s">
        <v>436</v>
      </c>
      <c r="E179" s="414" t="s">
        <v>60</v>
      </c>
      <c r="F179" s="964">
        <f>Plan1!D130</f>
        <v>30</v>
      </c>
      <c r="G179" s="893">
        <f t="shared" si="32"/>
        <v>10.32</v>
      </c>
      <c r="H179" s="883">
        <f t="shared" si="33"/>
        <v>309.60000000000002</v>
      </c>
      <c r="I179" s="844"/>
      <c r="J179" s="981">
        <v>8.15</v>
      </c>
      <c r="K179" s="842">
        <f t="shared" si="34"/>
        <v>10.32</v>
      </c>
    </row>
    <row r="180" spans="1:1026" ht="36" customHeight="1">
      <c r="A180" s="844"/>
      <c r="B180" s="974" t="s">
        <v>437</v>
      </c>
      <c r="C180" s="414" t="s">
        <v>438</v>
      </c>
      <c r="D180" s="423" t="s">
        <v>439</v>
      </c>
      <c r="E180" s="414" t="s">
        <v>60</v>
      </c>
      <c r="F180" s="964">
        <f>Plan1!D131</f>
        <v>20</v>
      </c>
      <c r="G180" s="893">
        <f t="shared" si="32"/>
        <v>7.86</v>
      </c>
      <c r="H180" s="883">
        <f t="shared" si="33"/>
        <v>157.20000000000002</v>
      </c>
      <c r="I180" s="844"/>
      <c r="J180" s="981">
        <v>6.21</v>
      </c>
      <c r="K180" s="842">
        <f t="shared" si="34"/>
        <v>7.86</v>
      </c>
    </row>
    <row r="181" spans="1:1026" ht="36" customHeight="1">
      <c r="A181" s="844"/>
      <c r="B181" s="974" t="s">
        <v>440</v>
      </c>
      <c r="C181" s="420" t="s">
        <v>441</v>
      </c>
      <c r="D181" s="432" t="s">
        <v>442</v>
      </c>
      <c r="E181" s="414" t="s">
        <v>60</v>
      </c>
      <c r="F181" s="964">
        <f>Plan1!D132</f>
        <v>19</v>
      </c>
      <c r="G181" s="893">
        <f t="shared" si="32"/>
        <v>9.7899999999999991</v>
      </c>
      <c r="H181" s="883">
        <f t="shared" si="33"/>
        <v>186.01</v>
      </c>
      <c r="I181" s="844"/>
      <c r="J181" s="981">
        <v>7.73</v>
      </c>
      <c r="K181" s="842">
        <f t="shared" si="34"/>
        <v>9.7899999999999991</v>
      </c>
    </row>
    <row r="182" spans="1:1026" ht="36" customHeight="1">
      <c r="A182" s="844"/>
      <c r="B182" s="974" t="s">
        <v>443</v>
      </c>
      <c r="C182" s="414" t="s">
        <v>444</v>
      </c>
      <c r="D182" s="431" t="s">
        <v>445</v>
      </c>
      <c r="E182" s="414" t="s">
        <v>60</v>
      </c>
      <c r="F182" s="964">
        <f>Plan1!D133</f>
        <v>38</v>
      </c>
      <c r="G182" s="893">
        <f t="shared" si="32"/>
        <v>16.5</v>
      </c>
      <c r="H182" s="883">
        <f t="shared" si="33"/>
        <v>627</v>
      </c>
      <c r="I182" s="844"/>
      <c r="J182" s="981">
        <v>13.03</v>
      </c>
      <c r="K182" s="842">
        <f t="shared" si="34"/>
        <v>16.5</v>
      </c>
    </row>
    <row r="183" spans="1:1026" s="826" customFormat="1" ht="36" customHeight="1">
      <c r="A183" s="900"/>
      <c r="B183" s="975" t="s">
        <v>446</v>
      </c>
      <c r="C183" s="434"/>
      <c r="D183" s="433" t="s">
        <v>447</v>
      </c>
      <c r="E183" s="434"/>
      <c r="F183" s="976"/>
      <c r="G183" s="904"/>
      <c r="H183" s="905"/>
      <c r="I183" s="900"/>
      <c r="J183" s="984"/>
      <c r="K183" s="918"/>
      <c r="L183" s="834"/>
      <c r="M183" s="834"/>
      <c r="N183" s="834"/>
      <c r="O183" s="834"/>
      <c r="P183" s="834"/>
      <c r="Q183" s="834"/>
      <c r="R183" s="834"/>
      <c r="S183" s="834"/>
      <c r="T183" s="834"/>
      <c r="U183" s="834"/>
      <c r="V183" s="834"/>
      <c r="W183" s="834"/>
      <c r="X183" s="834"/>
      <c r="Y183" s="834"/>
      <c r="Z183" s="834"/>
      <c r="AA183" s="834"/>
      <c r="AB183" s="834"/>
      <c r="AC183" s="834"/>
      <c r="AD183" s="834"/>
      <c r="AE183" s="834"/>
      <c r="AF183" s="834"/>
      <c r="AG183" s="834"/>
      <c r="AH183" s="834"/>
      <c r="AI183" s="834"/>
      <c r="AJ183" s="834"/>
      <c r="AK183" s="834"/>
      <c r="AL183" s="834"/>
      <c r="AM183" s="834"/>
      <c r="AN183" s="834"/>
      <c r="AO183" s="834"/>
      <c r="AP183" s="834"/>
      <c r="AQ183" s="834"/>
      <c r="AR183" s="834"/>
      <c r="AS183" s="834"/>
      <c r="AT183" s="834"/>
      <c r="AU183" s="834"/>
      <c r="AV183" s="834"/>
      <c r="AW183" s="834"/>
      <c r="AX183" s="834"/>
      <c r="AY183" s="834"/>
      <c r="AZ183" s="834"/>
      <c r="BA183" s="834"/>
      <c r="BB183" s="834"/>
      <c r="BC183" s="834"/>
      <c r="BD183" s="834"/>
      <c r="BE183" s="834"/>
      <c r="BF183" s="834"/>
      <c r="BG183" s="834"/>
      <c r="BH183" s="834"/>
      <c r="BI183" s="834"/>
      <c r="BJ183" s="834"/>
      <c r="BK183" s="834"/>
      <c r="BL183" s="834"/>
      <c r="BM183" s="834"/>
      <c r="BN183" s="834"/>
      <c r="BO183" s="834"/>
      <c r="BP183" s="834"/>
      <c r="BQ183" s="834"/>
      <c r="BR183" s="834"/>
      <c r="BS183" s="834"/>
      <c r="BT183" s="834"/>
      <c r="BU183" s="834"/>
      <c r="BV183" s="834"/>
      <c r="BW183" s="834"/>
      <c r="BX183" s="834"/>
      <c r="BY183" s="834"/>
      <c r="BZ183" s="834"/>
      <c r="CA183" s="834"/>
      <c r="CB183" s="834"/>
      <c r="CC183" s="834"/>
      <c r="CD183" s="834"/>
      <c r="CE183" s="834"/>
      <c r="CF183" s="834"/>
      <c r="CG183" s="834"/>
      <c r="CH183" s="834"/>
      <c r="CI183" s="834"/>
      <c r="CJ183" s="834"/>
      <c r="CK183" s="834"/>
      <c r="CL183" s="834"/>
      <c r="CM183" s="834"/>
      <c r="CN183" s="834"/>
      <c r="CO183" s="834"/>
      <c r="CP183" s="834"/>
      <c r="CQ183" s="834"/>
      <c r="CR183" s="834"/>
      <c r="CS183" s="834"/>
      <c r="CT183" s="834"/>
      <c r="CU183" s="834"/>
      <c r="CV183" s="834"/>
      <c r="CW183" s="834"/>
      <c r="CX183" s="834"/>
      <c r="CY183" s="834"/>
      <c r="CZ183" s="834"/>
      <c r="DA183" s="834"/>
      <c r="DB183" s="834"/>
      <c r="DC183" s="834"/>
      <c r="DD183" s="834"/>
      <c r="DE183" s="834"/>
      <c r="DF183" s="834"/>
      <c r="DG183" s="834"/>
      <c r="DH183" s="834"/>
      <c r="DI183" s="834"/>
      <c r="DJ183" s="834"/>
      <c r="DK183" s="834"/>
      <c r="DL183" s="834"/>
      <c r="DM183" s="834"/>
      <c r="DN183" s="834"/>
      <c r="DO183" s="834"/>
      <c r="DP183" s="834"/>
      <c r="DQ183" s="834"/>
      <c r="DR183" s="834"/>
      <c r="DS183" s="834"/>
      <c r="DT183" s="834"/>
      <c r="DU183" s="834"/>
      <c r="DV183" s="834"/>
      <c r="DW183" s="834"/>
      <c r="DX183" s="834"/>
      <c r="DY183" s="834"/>
      <c r="DZ183" s="834"/>
      <c r="EA183" s="834"/>
      <c r="EB183" s="834"/>
      <c r="EC183" s="834"/>
      <c r="ED183" s="834"/>
      <c r="EE183" s="834"/>
      <c r="EF183" s="834"/>
      <c r="EG183" s="834"/>
      <c r="EH183" s="834"/>
      <c r="EI183" s="834"/>
      <c r="EJ183" s="834"/>
      <c r="EK183" s="834"/>
      <c r="EL183" s="834"/>
      <c r="EM183" s="834"/>
      <c r="EN183" s="834"/>
      <c r="EO183" s="834"/>
      <c r="EP183" s="834"/>
      <c r="EQ183" s="834"/>
      <c r="ER183" s="834"/>
      <c r="ES183" s="834"/>
      <c r="ET183" s="834"/>
      <c r="EU183" s="834"/>
      <c r="EV183" s="834"/>
      <c r="EW183" s="834"/>
      <c r="EX183" s="834"/>
      <c r="EY183" s="834"/>
      <c r="EZ183" s="834"/>
      <c r="FA183" s="834"/>
      <c r="FB183" s="834"/>
      <c r="FC183" s="834"/>
      <c r="FD183" s="834"/>
      <c r="FE183" s="834"/>
      <c r="FF183" s="834"/>
      <c r="FG183" s="834"/>
      <c r="FH183" s="834"/>
      <c r="FI183" s="834"/>
      <c r="FJ183" s="834"/>
      <c r="FK183" s="834"/>
      <c r="FL183" s="834"/>
      <c r="FM183" s="834"/>
      <c r="FN183" s="834"/>
      <c r="FO183" s="834"/>
      <c r="FP183" s="834"/>
      <c r="FQ183" s="834"/>
      <c r="FR183" s="834"/>
      <c r="FS183" s="834"/>
      <c r="FT183" s="834"/>
      <c r="FU183" s="834"/>
      <c r="FV183" s="834"/>
      <c r="FW183" s="834"/>
      <c r="FX183" s="834"/>
      <c r="FY183" s="834"/>
      <c r="FZ183" s="834"/>
      <c r="GA183" s="834"/>
      <c r="GB183" s="834"/>
      <c r="GC183" s="834"/>
      <c r="GD183" s="834"/>
      <c r="GE183" s="834"/>
      <c r="GF183" s="834"/>
      <c r="GG183" s="834"/>
      <c r="GH183" s="834"/>
      <c r="GI183" s="834"/>
      <c r="GJ183" s="834"/>
      <c r="GK183" s="834"/>
      <c r="GL183" s="834"/>
      <c r="GM183" s="834"/>
      <c r="GN183" s="834"/>
      <c r="GO183" s="834"/>
      <c r="GP183" s="834"/>
      <c r="GQ183" s="834"/>
      <c r="GR183" s="834"/>
      <c r="GS183" s="834"/>
      <c r="GT183" s="834"/>
      <c r="GU183" s="834"/>
      <c r="GV183" s="834"/>
      <c r="GW183" s="834"/>
      <c r="GX183" s="834"/>
      <c r="GY183" s="834"/>
      <c r="GZ183" s="834"/>
      <c r="HA183" s="834"/>
      <c r="HB183" s="834"/>
      <c r="HC183" s="834"/>
      <c r="HD183" s="834"/>
      <c r="HE183" s="834"/>
      <c r="HF183" s="834"/>
      <c r="HG183" s="834"/>
      <c r="HH183" s="834"/>
      <c r="HI183" s="834"/>
      <c r="HJ183" s="834"/>
      <c r="HK183" s="834"/>
      <c r="HL183" s="834"/>
      <c r="HM183" s="834"/>
      <c r="HN183" s="834"/>
      <c r="HO183" s="834"/>
      <c r="HP183" s="834"/>
      <c r="HQ183" s="834"/>
      <c r="HR183" s="834"/>
      <c r="HS183" s="834"/>
      <c r="HT183" s="834"/>
      <c r="HU183" s="834"/>
      <c r="HV183" s="834"/>
      <c r="HW183" s="834"/>
      <c r="HX183" s="834"/>
      <c r="HY183" s="834"/>
      <c r="HZ183" s="834"/>
      <c r="IA183" s="834"/>
      <c r="IB183" s="834"/>
      <c r="IC183" s="834"/>
      <c r="ID183" s="834"/>
      <c r="IE183" s="834"/>
      <c r="IF183" s="834"/>
      <c r="IG183" s="834"/>
      <c r="IH183" s="834"/>
      <c r="II183" s="834"/>
      <c r="IJ183" s="834"/>
      <c r="IK183" s="834"/>
      <c r="IL183" s="834"/>
      <c r="IM183" s="834"/>
      <c r="IN183" s="834"/>
      <c r="IO183" s="834"/>
      <c r="IP183" s="834"/>
      <c r="IQ183" s="834"/>
      <c r="IR183" s="834"/>
      <c r="IS183" s="834"/>
      <c r="IT183" s="834"/>
      <c r="IU183" s="834"/>
      <c r="IV183" s="834"/>
      <c r="IW183" s="834"/>
      <c r="IX183" s="834"/>
      <c r="IY183" s="834"/>
      <c r="IZ183" s="834"/>
      <c r="JA183" s="834"/>
      <c r="JB183" s="834"/>
      <c r="JC183" s="834"/>
      <c r="JD183" s="834"/>
      <c r="JE183" s="834"/>
      <c r="JF183" s="834"/>
      <c r="JG183" s="834"/>
      <c r="JH183" s="834"/>
      <c r="JI183" s="834"/>
      <c r="JJ183" s="834"/>
      <c r="JK183" s="834"/>
      <c r="JL183" s="834"/>
      <c r="JM183" s="834"/>
      <c r="JN183" s="834"/>
      <c r="JO183" s="834"/>
      <c r="JP183" s="834"/>
      <c r="JQ183" s="834"/>
      <c r="JR183" s="834"/>
      <c r="JS183" s="834"/>
      <c r="JT183" s="834"/>
      <c r="JU183" s="834"/>
      <c r="JV183" s="834"/>
      <c r="JW183" s="834"/>
      <c r="JX183" s="834"/>
      <c r="JY183" s="834"/>
      <c r="JZ183" s="834"/>
      <c r="KA183" s="834"/>
      <c r="KB183" s="834"/>
      <c r="KC183" s="834"/>
      <c r="KD183" s="834"/>
      <c r="KE183" s="834"/>
      <c r="KF183" s="834"/>
      <c r="KG183" s="834"/>
      <c r="KH183" s="834"/>
      <c r="KI183" s="834"/>
      <c r="KJ183" s="834"/>
      <c r="KK183" s="834"/>
      <c r="KL183" s="834"/>
      <c r="KM183" s="834"/>
      <c r="KN183" s="834"/>
      <c r="KO183" s="834"/>
      <c r="KP183" s="834"/>
      <c r="KQ183" s="834"/>
      <c r="KR183" s="834"/>
      <c r="KS183" s="834"/>
      <c r="KT183" s="834"/>
      <c r="KU183" s="834"/>
      <c r="KV183" s="834"/>
      <c r="KW183" s="834"/>
      <c r="KX183" s="834"/>
      <c r="KY183" s="834"/>
      <c r="KZ183" s="834"/>
      <c r="LA183" s="834"/>
      <c r="LB183" s="834"/>
      <c r="LC183" s="834"/>
      <c r="LD183" s="834"/>
      <c r="LE183" s="834"/>
      <c r="LF183" s="834"/>
      <c r="LG183" s="834"/>
      <c r="LH183" s="834"/>
      <c r="LI183" s="834"/>
      <c r="LJ183" s="834"/>
      <c r="LK183" s="834"/>
      <c r="LL183" s="834"/>
      <c r="LM183" s="834"/>
      <c r="LN183" s="834"/>
      <c r="LO183" s="834"/>
      <c r="LP183" s="834"/>
      <c r="LQ183" s="834"/>
      <c r="LR183" s="834"/>
      <c r="LS183" s="834"/>
      <c r="LT183" s="834"/>
      <c r="LU183" s="834"/>
      <c r="LV183" s="834"/>
      <c r="LW183" s="834"/>
      <c r="LX183" s="834"/>
      <c r="LY183" s="834"/>
      <c r="LZ183" s="834"/>
      <c r="MA183" s="834"/>
      <c r="MB183" s="834"/>
      <c r="MC183" s="834"/>
      <c r="MD183" s="834"/>
      <c r="ME183" s="834"/>
      <c r="MF183" s="834"/>
      <c r="MG183" s="834"/>
      <c r="MH183" s="834"/>
      <c r="MI183" s="834"/>
      <c r="MJ183" s="834"/>
      <c r="MK183" s="834"/>
      <c r="ML183" s="834"/>
      <c r="MM183" s="834"/>
      <c r="MN183" s="834"/>
      <c r="MO183" s="834"/>
      <c r="MP183" s="834"/>
      <c r="MQ183" s="834"/>
      <c r="MR183" s="834"/>
      <c r="MS183" s="834"/>
      <c r="MT183" s="834"/>
      <c r="MU183" s="834"/>
      <c r="MV183" s="834"/>
      <c r="MW183" s="834"/>
      <c r="MX183" s="834"/>
      <c r="MY183" s="834"/>
      <c r="MZ183" s="834"/>
      <c r="NA183" s="834"/>
      <c r="NB183" s="834"/>
      <c r="NC183" s="834"/>
      <c r="ND183" s="834"/>
      <c r="NE183" s="834"/>
      <c r="NF183" s="834"/>
      <c r="NG183" s="834"/>
      <c r="NH183" s="834"/>
      <c r="NI183" s="834"/>
      <c r="NJ183" s="834"/>
      <c r="NK183" s="834"/>
      <c r="NL183" s="834"/>
      <c r="NM183" s="834"/>
      <c r="NN183" s="834"/>
      <c r="NO183" s="834"/>
      <c r="NP183" s="834"/>
      <c r="NQ183" s="834"/>
      <c r="NR183" s="834"/>
      <c r="NS183" s="834"/>
      <c r="NT183" s="834"/>
      <c r="NU183" s="834"/>
      <c r="NV183" s="834"/>
      <c r="NW183" s="834"/>
      <c r="NX183" s="834"/>
      <c r="NY183" s="834"/>
      <c r="NZ183" s="834"/>
      <c r="OA183" s="834"/>
      <c r="OB183" s="834"/>
      <c r="OC183" s="834"/>
      <c r="OD183" s="834"/>
      <c r="OE183" s="834"/>
      <c r="OF183" s="834"/>
      <c r="OG183" s="834"/>
      <c r="OH183" s="834"/>
      <c r="OI183" s="834"/>
      <c r="OJ183" s="834"/>
      <c r="OK183" s="834"/>
      <c r="OL183" s="834"/>
      <c r="OM183" s="834"/>
      <c r="ON183" s="834"/>
      <c r="OO183" s="834"/>
      <c r="OP183" s="834"/>
      <c r="OQ183" s="834"/>
      <c r="OR183" s="834"/>
      <c r="OS183" s="834"/>
      <c r="OT183" s="834"/>
      <c r="OU183" s="834"/>
      <c r="OV183" s="834"/>
      <c r="OW183" s="834"/>
      <c r="OX183" s="834"/>
      <c r="OY183" s="834"/>
      <c r="OZ183" s="834"/>
      <c r="PA183" s="834"/>
      <c r="PB183" s="834"/>
      <c r="PC183" s="834"/>
      <c r="PD183" s="834"/>
      <c r="PE183" s="834"/>
      <c r="PF183" s="834"/>
      <c r="PG183" s="834"/>
      <c r="PH183" s="834"/>
      <c r="PI183" s="834"/>
      <c r="PJ183" s="834"/>
      <c r="PK183" s="834"/>
      <c r="PL183" s="834"/>
      <c r="PM183" s="834"/>
      <c r="PN183" s="834"/>
      <c r="PO183" s="834"/>
      <c r="PP183" s="834"/>
      <c r="PQ183" s="834"/>
      <c r="PR183" s="834"/>
      <c r="PS183" s="834"/>
      <c r="PT183" s="834"/>
      <c r="PU183" s="834"/>
      <c r="PV183" s="834"/>
      <c r="PW183" s="834"/>
      <c r="PX183" s="834"/>
      <c r="PY183" s="834"/>
      <c r="PZ183" s="834"/>
      <c r="QA183" s="834"/>
      <c r="QB183" s="834"/>
      <c r="QC183" s="834"/>
      <c r="QD183" s="834"/>
      <c r="QE183" s="834"/>
      <c r="QF183" s="834"/>
      <c r="QG183" s="834"/>
      <c r="QH183" s="834"/>
      <c r="QI183" s="834"/>
      <c r="QJ183" s="834"/>
      <c r="QK183" s="834"/>
      <c r="QL183" s="834"/>
      <c r="QM183" s="834"/>
      <c r="QN183" s="834"/>
      <c r="QO183" s="834"/>
      <c r="QP183" s="834"/>
      <c r="QQ183" s="834"/>
      <c r="QR183" s="834"/>
      <c r="QS183" s="834"/>
      <c r="QT183" s="834"/>
      <c r="QU183" s="834"/>
      <c r="QV183" s="834"/>
      <c r="QW183" s="834"/>
      <c r="QX183" s="834"/>
      <c r="QY183" s="834"/>
      <c r="QZ183" s="834"/>
      <c r="RA183" s="834"/>
      <c r="RB183" s="834"/>
      <c r="RC183" s="834"/>
      <c r="RD183" s="834"/>
      <c r="RE183" s="834"/>
      <c r="RF183" s="834"/>
      <c r="RG183" s="834"/>
      <c r="RH183" s="834"/>
      <c r="RI183" s="834"/>
      <c r="RJ183" s="834"/>
      <c r="RK183" s="834"/>
      <c r="RL183" s="834"/>
      <c r="RM183" s="834"/>
      <c r="RN183" s="834"/>
      <c r="RO183" s="834"/>
      <c r="RP183" s="834"/>
      <c r="RQ183" s="834"/>
      <c r="RR183" s="834"/>
      <c r="RS183" s="834"/>
      <c r="RT183" s="834"/>
      <c r="RU183" s="834"/>
      <c r="RV183" s="834"/>
      <c r="RW183" s="834"/>
      <c r="RX183" s="834"/>
      <c r="RY183" s="834"/>
      <c r="RZ183" s="834"/>
      <c r="SA183" s="834"/>
      <c r="SB183" s="834"/>
      <c r="SC183" s="834"/>
      <c r="SD183" s="834"/>
      <c r="SE183" s="834"/>
      <c r="SF183" s="834"/>
      <c r="SG183" s="834"/>
      <c r="SH183" s="834"/>
      <c r="SI183" s="834"/>
      <c r="SJ183" s="834"/>
      <c r="SK183" s="834"/>
      <c r="SL183" s="834"/>
      <c r="SM183" s="834"/>
      <c r="SN183" s="834"/>
      <c r="SO183" s="834"/>
      <c r="SP183" s="834"/>
      <c r="SQ183" s="834"/>
      <c r="SR183" s="834"/>
      <c r="SS183" s="834"/>
      <c r="ST183" s="834"/>
      <c r="SU183" s="834"/>
      <c r="SV183" s="834"/>
      <c r="SW183" s="834"/>
      <c r="SX183" s="834"/>
      <c r="SY183" s="834"/>
      <c r="SZ183" s="834"/>
      <c r="TA183" s="834"/>
      <c r="TB183" s="834"/>
      <c r="TC183" s="834"/>
      <c r="TD183" s="834"/>
      <c r="TE183" s="834"/>
      <c r="TF183" s="834"/>
      <c r="TG183" s="834"/>
      <c r="TH183" s="834"/>
      <c r="TI183" s="834"/>
      <c r="TJ183" s="834"/>
      <c r="TK183" s="834"/>
      <c r="TL183" s="834"/>
      <c r="TM183" s="834"/>
      <c r="TN183" s="834"/>
      <c r="TO183" s="834"/>
      <c r="TP183" s="834"/>
      <c r="TQ183" s="834"/>
      <c r="TR183" s="834"/>
      <c r="TS183" s="834"/>
      <c r="TT183" s="834"/>
      <c r="TU183" s="834"/>
      <c r="TV183" s="834"/>
      <c r="TW183" s="834"/>
      <c r="TX183" s="834"/>
      <c r="TY183" s="834"/>
      <c r="TZ183" s="834"/>
      <c r="UA183" s="834"/>
      <c r="UB183" s="834"/>
      <c r="UC183" s="834"/>
      <c r="UD183" s="834"/>
      <c r="UE183" s="834"/>
      <c r="UF183" s="834"/>
      <c r="UG183" s="834"/>
      <c r="UH183" s="834"/>
      <c r="UI183" s="834"/>
      <c r="UJ183" s="834"/>
      <c r="UK183" s="834"/>
      <c r="UL183" s="834"/>
      <c r="UM183" s="834"/>
      <c r="UN183" s="834"/>
      <c r="UO183" s="834"/>
      <c r="UP183" s="834"/>
      <c r="UQ183" s="834"/>
      <c r="UR183" s="834"/>
      <c r="US183" s="834"/>
      <c r="UT183" s="834"/>
      <c r="UU183" s="834"/>
      <c r="UV183" s="834"/>
      <c r="UW183" s="834"/>
      <c r="UX183" s="834"/>
      <c r="UY183" s="834"/>
      <c r="UZ183" s="834"/>
      <c r="VA183" s="834"/>
      <c r="VB183" s="834"/>
      <c r="VC183" s="834"/>
      <c r="VD183" s="834"/>
      <c r="VE183" s="834"/>
      <c r="VF183" s="834"/>
      <c r="VG183" s="834"/>
      <c r="VH183" s="834"/>
      <c r="VI183" s="834"/>
      <c r="VJ183" s="834"/>
      <c r="VK183" s="834"/>
      <c r="VL183" s="834"/>
      <c r="VM183" s="834"/>
      <c r="VN183" s="834"/>
      <c r="VO183" s="834"/>
      <c r="VP183" s="834"/>
      <c r="VQ183" s="834"/>
      <c r="VR183" s="834"/>
      <c r="VS183" s="834"/>
      <c r="VT183" s="834"/>
      <c r="VU183" s="834"/>
      <c r="VV183" s="834"/>
      <c r="VW183" s="834"/>
      <c r="VX183" s="834"/>
      <c r="VY183" s="834"/>
      <c r="VZ183" s="834"/>
      <c r="WA183" s="834"/>
      <c r="WB183" s="834"/>
      <c r="WC183" s="834"/>
      <c r="WD183" s="834"/>
      <c r="WE183" s="834"/>
      <c r="WF183" s="834"/>
      <c r="WG183" s="834"/>
      <c r="WH183" s="834"/>
      <c r="WI183" s="834"/>
      <c r="WJ183" s="834"/>
      <c r="WK183" s="834"/>
      <c r="WL183" s="834"/>
      <c r="WM183" s="834"/>
      <c r="WN183" s="834"/>
      <c r="WO183" s="834"/>
      <c r="WP183" s="834"/>
      <c r="WQ183" s="834"/>
      <c r="WR183" s="834"/>
      <c r="WS183" s="834"/>
      <c r="WT183" s="834"/>
      <c r="WU183" s="834"/>
      <c r="WV183" s="834"/>
      <c r="WW183" s="834"/>
      <c r="WX183" s="834"/>
      <c r="WY183" s="834"/>
      <c r="WZ183" s="834"/>
      <c r="XA183" s="834"/>
      <c r="XB183" s="834"/>
      <c r="XC183" s="834"/>
      <c r="XD183" s="834"/>
      <c r="XE183" s="834"/>
      <c r="XF183" s="834"/>
      <c r="XG183" s="834"/>
      <c r="XH183" s="834"/>
      <c r="XI183" s="834"/>
      <c r="XJ183" s="834"/>
      <c r="XK183" s="834"/>
      <c r="XL183" s="834"/>
      <c r="XM183" s="834"/>
      <c r="XN183" s="834"/>
      <c r="XO183" s="834"/>
      <c r="XP183" s="834"/>
      <c r="XQ183" s="834"/>
      <c r="XR183" s="834"/>
      <c r="XS183" s="834"/>
      <c r="XT183" s="834"/>
      <c r="XU183" s="834"/>
      <c r="XV183" s="834"/>
      <c r="XW183" s="834"/>
      <c r="XX183" s="834"/>
      <c r="XY183" s="834"/>
      <c r="XZ183" s="834"/>
      <c r="YA183" s="834"/>
      <c r="YB183" s="834"/>
      <c r="YC183" s="834"/>
      <c r="YD183" s="834"/>
      <c r="YE183" s="834"/>
      <c r="YF183" s="834"/>
      <c r="YG183" s="834"/>
      <c r="YH183" s="834"/>
      <c r="YI183" s="834"/>
      <c r="YJ183" s="834"/>
      <c r="YK183" s="834"/>
      <c r="YL183" s="834"/>
      <c r="YM183" s="834"/>
      <c r="YN183" s="834"/>
      <c r="YO183" s="834"/>
      <c r="YP183" s="834"/>
      <c r="YQ183" s="834"/>
      <c r="YR183" s="834"/>
      <c r="YS183" s="834"/>
      <c r="YT183" s="834"/>
      <c r="YU183" s="834"/>
      <c r="YV183" s="834"/>
      <c r="YW183" s="834"/>
      <c r="YX183" s="834"/>
      <c r="YY183" s="834"/>
      <c r="YZ183" s="834"/>
      <c r="ZA183" s="834"/>
      <c r="ZB183" s="834"/>
      <c r="ZC183" s="834"/>
      <c r="ZD183" s="834"/>
      <c r="ZE183" s="834"/>
      <c r="ZF183" s="834"/>
      <c r="ZG183" s="834"/>
      <c r="ZH183" s="834"/>
      <c r="ZI183" s="834"/>
      <c r="ZJ183" s="834"/>
      <c r="ZK183" s="834"/>
      <c r="ZL183" s="834"/>
      <c r="ZM183" s="834"/>
      <c r="ZN183" s="834"/>
      <c r="ZO183" s="834"/>
      <c r="ZP183" s="834"/>
      <c r="ZQ183" s="834"/>
      <c r="ZR183" s="834"/>
      <c r="ZS183" s="834"/>
      <c r="ZT183" s="834"/>
      <c r="ZU183" s="834"/>
      <c r="ZV183" s="834"/>
      <c r="ZW183" s="834"/>
      <c r="ZX183" s="834"/>
      <c r="ZY183" s="834"/>
      <c r="ZZ183" s="834"/>
      <c r="AAA183" s="834"/>
      <c r="AAB183" s="834"/>
      <c r="AAC183" s="834"/>
      <c r="AAD183" s="834"/>
      <c r="AAE183" s="834"/>
      <c r="AAF183" s="834"/>
      <c r="AAG183" s="834"/>
      <c r="AAH183" s="834"/>
      <c r="AAI183" s="834"/>
      <c r="AAJ183" s="834"/>
      <c r="AAK183" s="834"/>
      <c r="AAL183" s="834"/>
      <c r="AAM183" s="834"/>
      <c r="AAN183" s="834"/>
      <c r="AAO183" s="834"/>
      <c r="AAP183" s="834"/>
      <c r="AAQ183" s="834"/>
      <c r="AAR183" s="834"/>
      <c r="AAS183" s="834"/>
      <c r="AAT183" s="834"/>
      <c r="AAU183" s="834"/>
      <c r="AAV183" s="834"/>
      <c r="AAW183" s="834"/>
      <c r="AAX183" s="834"/>
      <c r="AAY183" s="834"/>
      <c r="AAZ183" s="834"/>
      <c r="ABA183" s="834"/>
      <c r="ABB183" s="834"/>
      <c r="ABC183" s="834"/>
      <c r="ABD183" s="834"/>
      <c r="ABE183" s="834"/>
      <c r="ABF183" s="834"/>
      <c r="ABG183" s="834"/>
      <c r="ABH183" s="834"/>
      <c r="ABI183" s="834"/>
      <c r="ABJ183" s="834"/>
      <c r="ABK183" s="834"/>
      <c r="ABL183" s="834"/>
      <c r="ABM183" s="834"/>
      <c r="ABN183" s="834"/>
      <c r="ABO183" s="834"/>
      <c r="ABP183" s="834"/>
      <c r="ABQ183" s="834"/>
      <c r="ABR183" s="834"/>
      <c r="ABS183" s="834"/>
      <c r="ABT183" s="834"/>
      <c r="ABU183" s="834"/>
      <c r="ABV183" s="834"/>
      <c r="ABW183" s="834"/>
      <c r="ABX183" s="834"/>
      <c r="ABY183" s="834"/>
      <c r="ABZ183" s="834"/>
      <c r="ACA183" s="834"/>
      <c r="ACB183" s="834"/>
      <c r="ACC183" s="834"/>
      <c r="ACD183" s="834"/>
      <c r="ACE183" s="834"/>
      <c r="ACF183" s="834"/>
      <c r="ACG183" s="834"/>
      <c r="ACH183" s="834"/>
      <c r="ACI183" s="834"/>
      <c r="ACJ183" s="834"/>
      <c r="ACK183" s="834"/>
      <c r="ACL183" s="834"/>
      <c r="ACM183" s="834"/>
      <c r="ACN183" s="834"/>
      <c r="ACO183" s="834"/>
      <c r="ACP183" s="834"/>
      <c r="ACQ183" s="834"/>
      <c r="ACR183" s="834"/>
      <c r="ACS183" s="834"/>
      <c r="ACT183" s="834"/>
      <c r="ACU183" s="834"/>
      <c r="ACV183" s="834"/>
      <c r="ACW183" s="834"/>
      <c r="ACX183" s="834"/>
      <c r="ACY183" s="834"/>
      <c r="ACZ183" s="834"/>
      <c r="ADA183" s="834"/>
      <c r="ADB183" s="834"/>
      <c r="ADC183" s="834"/>
      <c r="ADD183" s="834"/>
      <c r="ADE183" s="834"/>
      <c r="ADF183" s="834"/>
      <c r="ADG183" s="834"/>
      <c r="ADH183" s="834"/>
      <c r="ADI183" s="834"/>
      <c r="ADJ183" s="834"/>
      <c r="ADK183" s="834"/>
      <c r="ADL183" s="834"/>
      <c r="ADM183" s="834"/>
      <c r="ADN183" s="834"/>
      <c r="ADO183" s="834"/>
      <c r="ADP183" s="834"/>
      <c r="ADQ183" s="834"/>
      <c r="ADR183" s="834"/>
      <c r="ADS183" s="834"/>
      <c r="ADT183" s="834"/>
      <c r="ADU183" s="834"/>
      <c r="ADV183" s="834"/>
      <c r="ADW183" s="834"/>
      <c r="ADX183" s="834"/>
      <c r="ADY183" s="834"/>
      <c r="ADZ183" s="834"/>
      <c r="AEA183" s="834"/>
      <c r="AEB183" s="834"/>
      <c r="AEC183" s="834"/>
      <c r="AED183" s="834"/>
      <c r="AEE183" s="834"/>
      <c r="AEF183" s="834"/>
      <c r="AEG183" s="834"/>
      <c r="AEH183" s="834"/>
      <c r="AEI183" s="834"/>
      <c r="AEJ183" s="834"/>
      <c r="AEK183" s="834"/>
      <c r="AEL183" s="834"/>
      <c r="AEM183" s="834"/>
      <c r="AEN183" s="834"/>
      <c r="AEO183" s="834"/>
      <c r="AEP183" s="834"/>
      <c r="AEQ183" s="834"/>
      <c r="AER183" s="834"/>
      <c r="AES183" s="834"/>
      <c r="AET183" s="834"/>
      <c r="AEU183" s="834"/>
      <c r="AEV183" s="834"/>
      <c r="AEW183" s="834"/>
      <c r="AEX183" s="834"/>
      <c r="AEY183" s="834"/>
      <c r="AEZ183" s="834"/>
      <c r="AFA183" s="834"/>
      <c r="AFB183" s="834"/>
      <c r="AFC183" s="834"/>
      <c r="AFD183" s="834"/>
      <c r="AFE183" s="834"/>
      <c r="AFF183" s="834"/>
      <c r="AFG183" s="834"/>
      <c r="AFH183" s="834"/>
      <c r="AFI183" s="834"/>
      <c r="AFJ183" s="834"/>
      <c r="AFK183" s="834"/>
      <c r="AFL183" s="834"/>
      <c r="AFM183" s="834"/>
      <c r="AFN183" s="834"/>
      <c r="AFO183" s="834"/>
      <c r="AFP183" s="834"/>
      <c r="AFQ183" s="834"/>
      <c r="AFR183" s="834"/>
      <c r="AFS183" s="834"/>
      <c r="AFT183" s="834"/>
      <c r="AFU183" s="834"/>
      <c r="AFV183" s="834"/>
      <c r="AFW183" s="834"/>
      <c r="AFX183" s="834"/>
      <c r="AFY183" s="834"/>
      <c r="AFZ183" s="834"/>
      <c r="AGA183" s="834"/>
      <c r="AGB183" s="834"/>
      <c r="AGC183" s="834"/>
      <c r="AGD183" s="834"/>
      <c r="AGE183" s="834"/>
      <c r="AGF183" s="834"/>
      <c r="AGG183" s="834"/>
      <c r="AGH183" s="834"/>
      <c r="AGI183" s="834"/>
      <c r="AGJ183" s="834"/>
      <c r="AGK183" s="834"/>
      <c r="AGL183" s="834"/>
      <c r="AGM183" s="834"/>
      <c r="AGN183" s="834"/>
      <c r="AGO183" s="834"/>
      <c r="AGP183" s="834"/>
      <c r="AGQ183" s="834"/>
      <c r="AGR183" s="834"/>
      <c r="AGS183" s="834"/>
      <c r="AGT183" s="834"/>
      <c r="AGU183" s="834"/>
      <c r="AGV183" s="834"/>
      <c r="AGW183" s="834"/>
      <c r="AGX183" s="834"/>
      <c r="AGY183" s="834"/>
      <c r="AGZ183" s="834"/>
      <c r="AHA183" s="834"/>
      <c r="AHB183" s="834"/>
      <c r="AHC183" s="834"/>
      <c r="AHD183" s="834"/>
      <c r="AHE183" s="834"/>
      <c r="AHF183" s="834"/>
      <c r="AHG183" s="834"/>
      <c r="AHH183" s="834"/>
      <c r="AHI183" s="834"/>
      <c r="AHJ183" s="834"/>
      <c r="AHK183" s="834"/>
      <c r="AHL183" s="834"/>
      <c r="AHM183" s="834"/>
      <c r="AHN183" s="834"/>
      <c r="AHO183" s="834"/>
      <c r="AHP183" s="834"/>
      <c r="AHQ183" s="834"/>
      <c r="AHR183" s="834"/>
      <c r="AHS183" s="834"/>
      <c r="AHT183" s="834"/>
      <c r="AHU183" s="834"/>
      <c r="AHV183" s="834"/>
      <c r="AHW183" s="834"/>
      <c r="AHX183" s="834"/>
      <c r="AHY183" s="834"/>
      <c r="AHZ183" s="834"/>
      <c r="AIA183" s="834"/>
      <c r="AIB183" s="834"/>
      <c r="AIC183" s="834"/>
      <c r="AID183" s="834"/>
      <c r="AIE183" s="834"/>
      <c r="AIF183" s="834"/>
      <c r="AIG183" s="834"/>
      <c r="AIH183" s="834"/>
      <c r="AII183" s="834"/>
      <c r="AIJ183" s="834"/>
      <c r="AIK183" s="834"/>
      <c r="AIL183" s="834"/>
      <c r="AIM183" s="834"/>
      <c r="AIN183" s="834"/>
      <c r="AIO183" s="834"/>
      <c r="AIP183" s="834"/>
      <c r="AIQ183" s="834"/>
      <c r="AIR183" s="834"/>
      <c r="AIS183" s="834"/>
      <c r="AIT183" s="834"/>
      <c r="AIU183" s="834"/>
      <c r="AIV183" s="834"/>
      <c r="AIW183" s="834"/>
      <c r="AIX183" s="834"/>
      <c r="AIY183" s="834"/>
      <c r="AIZ183" s="834"/>
      <c r="AJA183" s="834"/>
      <c r="AJB183" s="834"/>
      <c r="AJC183" s="834"/>
      <c r="AJD183" s="834"/>
      <c r="AJE183" s="834"/>
      <c r="AJF183" s="834"/>
      <c r="AJG183" s="834"/>
      <c r="AJH183" s="834"/>
      <c r="AJI183" s="834"/>
      <c r="AJJ183" s="834"/>
      <c r="AJK183" s="834"/>
      <c r="AJL183" s="834"/>
      <c r="AJM183" s="834"/>
      <c r="AJN183" s="834"/>
      <c r="AJO183" s="834"/>
      <c r="AJP183" s="834"/>
      <c r="AJQ183" s="834"/>
      <c r="AJR183" s="834"/>
      <c r="AJS183" s="834"/>
      <c r="AJT183" s="834"/>
      <c r="AJU183" s="834"/>
      <c r="AJV183" s="834"/>
      <c r="AJW183" s="834"/>
      <c r="AJX183" s="834"/>
      <c r="AJY183" s="834"/>
      <c r="AJZ183" s="834"/>
      <c r="AKA183" s="834"/>
      <c r="AKB183" s="834"/>
      <c r="AKC183" s="834"/>
      <c r="AKD183" s="834"/>
      <c r="AKE183" s="834"/>
      <c r="AKF183" s="834"/>
      <c r="AKG183" s="834"/>
      <c r="AKH183" s="834"/>
      <c r="AKI183" s="834"/>
      <c r="AKJ183" s="834"/>
      <c r="AKK183" s="834"/>
      <c r="AKL183" s="834"/>
      <c r="AKM183" s="834"/>
      <c r="AKN183" s="834"/>
      <c r="AKO183" s="834"/>
      <c r="AKP183" s="834"/>
      <c r="AKQ183" s="834"/>
      <c r="AKR183" s="834"/>
      <c r="AKS183" s="834"/>
      <c r="AKT183" s="834"/>
      <c r="AKU183" s="834"/>
      <c r="AKV183" s="834"/>
      <c r="AKW183" s="834"/>
      <c r="AKX183" s="834"/>
      <c r="AKY183" s="834"/>
      <c r="AKZ183" s="834"/>
      <c r="ALA183" s="834"/>
      <c r="ALB183" s="834"/>
      <c r="ALC183" s="834"/>
      <c r="ALD183" s="834"/>
      <c r="ALE183" s="834"/>
      <c r="ALF183" s="834"/>
      <c r="ALG183" s="834"/>
      <c r="ALH183" s="834"/>
      <c r="ALI183" s="834"/>
      <c r="ALJ183" s="834"/>
      <c r="ALK183" s="834"/>
      <c r="ALL183" s="834"/>
      <c r="ALM183" s="834"/>
      <c r="ALN183" s="834"/>
      <c r="ALO183" s="834"/>
      <c r="ALP183" s="834"/>
      <c r="ALQ183" s="834"/>
      <c r="ALR183" s="834"/>
      <c r="ALS183" s="834"/>
      <c r="ALT183" s="834"/>
      <c r="ALU183" s="834"/>
      <c r="ALV183" s="834"/>
      <c r="ALW183" s="834"/>
      <c r="ALX183" s="834"/>
      <c r="ALY183" s="834"/>
      <c r="ALZ183" s="834"/>
      <c r="AMA183" s="834"/>
      <c r="AMB183" s="834"/>
      <c r="AMC183" s="834"/>
      <c r="AMD183" s="834"/>
      <c r="AME183" s="834"/>
      <c r="AMF183" s="834"/>
      <c r="AMG183" s="834"/>
      <c r="AMH183" s="834"/>
      <c r="AMI183" s="834"/>
      <c r="AMJ183" s="834"/>
      <c r="AMK183" s="834"/>
      <c r="AML183" s="834"/>
    </row>
    <row r="184" spans="1:1026" ht="36" customHeight="1">
      <c r="A184" s="844"/>
      <c r="B184" s="977" t="s">
        <v>448</v>
      </c>
      <c r="C184" s="420" t="s">
        <v>449</v>
      </c>
      <c r="D184" s="1039" t="s">
        <v>450</v>
      </c>
      <c r="E184" s="414" t="s">
        <v>38</v>
      </c>
      <c r="F184" s="964">
        <f>Plan1!D135</f>
        <v>70</v>
      </c>
      <c r="G184" s="893">
        <f t="shared" ref="G184:G188" si="35">K184</f>
        <v>87.87</v>
      </c>
      <c r="H184" s="883">
        <f t="shared" ref="H184:H188" si="36">F184*G184</f>
        <v>6150.9000000000005</v>
      </c>
      <c r="I184" s="844"/>
      <c r="J184" s="981">
        <v>69.400000000000006</v>
      </c>
      <c r="K184" s="842">
        <f t="shared" ref="K184:K188" si="37">ROUND(J184*(1+$H$14),2)</f>
        <v>87.87</v>
      </c>
    </row>
    <row r="185" spans="1:1026" ht="36" customHeight="1">
      <c r="A185" s="844"/>
      <c r="B185" s="977" t="s">
        <v>451</v>
      </c>
      <c r="C185" s="414" t="s">
        <v>387</v>
      </c>
      <c r="D185" s="1039" t="s">
        <v>452</v>
      </c>
      <c r="E185" s="414" t="s">
        <v>38</v>
      </c>
      <c r="F185" s="964">
        <f>Plan1!D136</f>
        <v>280</v>
      </c>
      <c r="G185" s="893">
        <f t="shared" si="35"/>
        <v>53.89</v>
      </c>
      <c r="H185" s="883">
        <f t="shared" si="36"/>
        <v>15089.2</v>
      </c>
      <c r="I185" s="844"/>
      <c r="J185" s="981">
        <v>42.56</v>
      </c>
      <c r="K185" s="842">
        <f t="shared" si="37"/>
        <v>53.89</v>
      </c>
    </row>
    <row r="186" spans="1:1026" ht="36" customHeight="1">
      <c r="A186" s="844"/>
      <c r="B186" s="977" t="s">
        <v>453</v>
      </c>
      <c r="C186" s="414" t="s">
        <v>454</v>
      </c>
      <c r="D186" s="435" t="s">
        <v>455</v>
      </c>
      <c r="E186" s="414" t="s">
        <v>38</v>
      </c>
      <c r="F186" s="964">
        <f>Plan1!D137</f>
        <v>190</v>
      </c>
      <c r="G186" s="893">
        <f t="shared" si="35"/>
        <v>20.170000000000002</v>
      </c>
      <c r="H186" s="883">
        <f t="shared" si="36"/>
        <v>3832.3</v>
      </c>
      <c r="I186" s="844"/>
      <c r="J186" s="981">
        <v>15.93</v>
      </c>
      <c r="K186" s="842">
        <f t="shared" si="37"/>
        <v>20.170000000000002</v>
      </c>
    </row>
    <row r="187" spans="1:1026" ht="39.75" customHeight="1">
      <c r="A187" s="844"/>
      <c r="B187" s="977" t="s">
        <v>456</v>
      </c>
      <c r="C187" s="414" t="s">
        <v>457</v>
      </c>
      <c r="D187" s="435" t="s">
        <v>458</v>
      </c>
      <c r="E187" s="414" t="s">
        <v>38</v>
      </c>
      <c r="F187" s="964">
        <f>Plan1!D138</f>
        <v>100</v>
      </c>
      <c r="G187" s="893">
        <f t="shared" si="35"/>
        <v>30.78</v>
      </c>
      <c r="H187" s="883">
        <f t="shared" si="36"/>
        <v>3078</v>
      </c>
      <c r="I187" s="844"/>
      <c r="J187" s="981">
        <v>24.31</v>
      </c>
      <c r="K187" s="842">
        <f t="shared" si="37"/>
        <v>30.78</v>
      </c>
    </row>
    <row r="188" spans="1:1026" ht="36" customHeight="1">
      <c r="A188" s="844"/>
      <c r="B188" s="977" t="s">
        <v>459</v>
      </c>
      <c r="C188" s="414" t="s">
        <v>460</v>
      </c>
      <c r="D188" s="435" t="s">
        <v>461</v>
      </c>
      <c r="E188" s="414" t="s">
        <v>38</v>
      </c>
      <c r="F188" s="964">
        <f>Plan1!D139</f>
        <v>21</v>
      </c>
      <c r="G188" s="893">
        <f t="shared" si="35"/>
        <v>24.01</v>
      </c>
      <c r="H188" s="883">
        <f t="shared" si="36"/>
        <v>504.21000000000004</v>
      </c>
      <c r="I188" s="844"/>
      <c r="J188" s="981">
        <v>18.96</v>
      </c>
      <c r="K188" s="842">
        <f t="shared" si="37"/>
        <v>24.01</v>
      </c>
    </row>
    <row r="189" spans="1:1026" s="826" customFormat="1" ht="36" customHeight="1">
      <c r="A189" s="900"/>
      <c r="B189" s="975" t="s">
        <v>462</v>
      </c>
      <c r="C189" s="434"/>
      <c r="D189" s="433" t="s">
        <v>463</v>
      </c>
      <c r="E189" s="434"/>
      <c r="F189" s="976"/>
      <c r="G189" s="904"/>
      <c r="H189" s="905"/>
      <c r="I189" s="900"/>
      <c r="J189" s="984"/>
      <c r="K189" s="918"/>
      <c r="L189" s="834"/>
      <c r="M189" s="834"/>
      <c r="N189" s="834"/>
      <c r="O189" s="834"/>
      <c r="P189" s="834"/>
      <c r="Q189" s="834"/>
      <c r="R189" s="834"/>
      <c r="S189" s="834"/>
      <c r="T189" s="834"/>
      <c r="U189" s="834"/>
      <c r="V189" s="834"/>
      <c r="W189" s="834"/>
      <c r="X189" s="834"/>
      <c r="Y189" s="834"/>
      <c r="Z189" s="834"/>
      <c r="AA189" s="834"/>
      <c r="AB189" s="834"/>
      <c r="AC189" s="834"/>
      <c r="AD189" s="834"/>
      <c r="AE189" s="834"/>
      <c r="AF189" s="834"/>
      <c r="AG189" s="834"/>
      <c r="AH189" s="834"/>
      <c r="AI189" s="834"/>
      <c r="AJ189" s="834"/>
      <c r="AK189" s="834"/>
      <c r="AL189" s="834"/>
      <c r="AM189" s="834"/>
      <c r="AN189" s="834"/>
      <c r="AO189" s="834"/>
      <c r="AP189" s="834"/>
      <c r="AQ189" s="834"/>
      <c r="AR189" s="834"/>
      <c r="AS189" s="834"/>
      <c r="AT189" s="834"/>
      <c r="AU189" s="834"/>
      <c r="AV189" s="834"/>
      <c r="AW189" s="834"/>
      <c r="AX189" s="834"/>
      <c r="AY189" s="834"/>
      <c r="AZ189" s="834"/>
      <c r="BA189" s="834"/>
      <c r="BB189" s="834"/>
      <c r="BC189" s="834"/>
      <c r="BD189" s="834"/>
      <c r="BE189" s="834"/>
      <c r="BF189" s="834"/>
      <c r="BG189" s="834"/>
      <c r="BH189" s="834"/>
      <c r="BI189" s="834"/>
      <c r="BJ189" s="834"/>
      <c r="BK189" s="834"/>
      <c r="BL189" s="834"/>
      <c r="BM189" s="834"/>
      <c r="BN189" s="834"/>
      <c r="BO189" s="834"/>
      <c r="BP189" s="834"/>
      <c r="BQ189" s="834"/>
      <c r="BR189" s="834"/>
      <c r="BS189" s="834"/>
      <c r="BT189" s="834"/>
      <c r="BU189" s="834"/>
      <c r="BV189" s="834"/>
      <c r="BW189" s="834"/>
      <c r="BX189" s="834"/>
      <c r="BY189" s="834"/>
      <c r="BZ189" s="834"/>
      <c r="CA189" s="834"/>
      <c r="CB189" s="834"/>
      <c r="CC189" s="834"/>
      <c r="CD189" s="834"/>
      <c r="CE189" s="834"/>
      <c r="CF189" s="834"/>
      <c r="CG189" s="834"/>
      <c r="CH189" s="834"/>
      <c r="CI189" s="834"/>
      <c r="CJ189" s="834"/>
      <c r="CK189" s="834"/>
      <c r="CL189" s="834"/>
      <c r="CM189" s="834"/>
      <c r="CN189" s="834"/>
      <c r="CO189" s="834"/>
      <c r="CP189" s="834"/>
      <c r="CQ189" s="834"/>
      <c r="CR189" s="834"/>
      <c r="CS189" s="834"/>
      <c r="CT189" s="834"/>
      <c r="CU189" s="834"/>
      <c r="CV189" s="834"/>
      <c r="CW189" s="834"/>
      <c r="CX189" s="834"/>
      <c r="CY189" s="834"/>
      <c r="CZ189" s="834"/>
      <c r="DA189" s="834"/>
      <c r="DB189" s="834"/>
      <c r="DC189" s="834"/>
      <c r="DD189" s="834"/>
      <c r="DE189" s="834"/>
      <c r="DF189" s="834"/>
      <c r="DG189" s="834"/>
      <c r="DH189" s="834"/>
      <c r="DI189" s="834"/>
      <c r="DJ189" s="834"/>
      <c r="DK189" s="834"/>
      <c r="DL189" s="834"/>
      <c r="DM189" s="834"/>
      <c r="DN189" s="834"/>
      <c r="DO189" s="834"/>
      <c r="DP189" s="834"/>
      <c r="DQ189" s="834"/>
      <c r="DR189" s="834"/>
      <c r="DS189" s="834"/>
      <c r="DT189" s="834"/>
      <c r="DU189" s="834"/>
      <c r="DV189" s="834"/>
      <c r="DW189" s="834"/>
      <c r="DX189" s="834"/>
      <c r="DY189" s="834"/>
      <c r="DZ189" s="834"/>
      <c r="EA189" s="834"/>
      <c r="EB189" s="834"/>
      <c r="EC189" s="834"/>
      <c r="ED189" s="834"/>
      <c r="EE189" s="834"/>
      <c r="EF189" s="834"/>
      <c r="EG189" s="834"/>
      <c r="EH189" s="834"/>
      <c r="EI189" s="834"/>
      <c r="EJ189" s="834"/>
      <c r="EK189" s="834"/>
      <c r="EL189" s="834"/>
      <c r="EM189" s="834"/>
      <c r="EN189" s="834"/>
      <c r="EO189" s="834"/>
      <c r="EP189" s="834"/>
      <c r="EQ189" s="834"/>
      <c r="ER189" s="834"/>
      <c r="ES189" s="834"/>
      <c r="ET189" s="834"/>
      <c r="EU189" s="834"/>
      <c r="EV189" s="834"/>
      <c r="EW189" s="834"/>
      <c r="EX189" s="834"/>
      <c r="EY189" s="834"/>
      <c r="EZ189" s="834"/>
      <c r="FA189" s="834"/>
      <c r="FB189" s="834"/>
      <c r="FC189" s="834"/>
      <c r="FD189" s="834"/>
      <c r="FE189" s="834"/>
      <c r="FF189" s="834"/>
      <c r="FG189" s="834"/>
      <c r="FH189" s="834"/>
      <c r="FI189" s="834"/>
      <c r="FJ189" s="834"/>
      <c r="FK189" s="834"/>
      <c r="FL189" s="834"/>
      <c r="FM189" s="834"/>
      <c r="FN189" s="834"/>
      <c r="FO189" s="834"/>
      <c r="FP189" s="834"/>
      <c r="FQ189" s="834"/>
      <c r="FR189" s="834"/>
      <c r="FS189" s="834"/>
      <c r="FT189" s="834"/>
      <c r="FU189" s="834"/>
      <c r="FV189" s="834"/>
      <c r="FW189" s="834"/>
      <c r="FX189" s="834"/>
      <c r="FY189" s="834"/>
      <c r="FZ189" s="834"/>
      <c r="GA189" s="834"/>
      <c r="GB189" s="834"/>
      <c r="GC189" s="834"/>
      <c r="GD189" s="834"/>
      <c r="GE189" s="834"/>
      <c r="GF189" s="834"/>
      <c r="GG189" s="834"/>
      <c r="GH189" s="834"/>
      <c r="GI189" s="834"/>
      <c r="GJ189" s="834"/>
      <c r="GK189" s="834"/>
      <c r="GL189" s="834"/>
      <c r="GM189" s="834"/>
      <c r="GN189" s="834"/>
      <c r="GO189" s="834"/>
      <c r="GP189" s="834"/>
      <c r="GQ189" s="834"/>
      <c r="GR189" s="834"/>
      <c r="GS189" s="834"/>
      <c r="GT189" s="834"/>
      <c r="GU189" s="834"/>
      <c r="GV189" s="834"/>
      <c r="GW189" s="834"/>
      <c r="GX189" s="834"/>
      <c r="GY189" s="834"/>
      <c r="GZ189" s="834"/>
      <c r="HA189" s="834"/>
      <c r="HB189" s="834"/>
      <c r="HC189" s="834"/>
      <c r="HD189" s="834"/>
      <c r="HE189" s="834"/>
      <c r="HF189" s="834"/>
      <c r="HG189" s="834"/>
      <c r="HH189" s="834"/>
      <c r="HI189" s="834"/>
      <c r="HJ189" s="834"/>
      <c r="HK189" s="834"/>
      <c r="HL189" s="834"/>
      <c r="HM189" s="834"/>
      <c r="HN189" s="834"/>
      <c r="HO189" s="834"/>
      <c r="HP189" s="834"/>
      <c r="HQ189" s="834"/>
      <c r="HR189" s="834"/>
      <c r="HS189" s="834"/>
      <c r="HT189" s="834"/>
      <c r="HU189" s="834"/>
      <c r="HV189" s="834"/>
      <c r="HW189" s="834"/>
      <c r="HX189" s="834"/>
      <c r="HY189" s="834"/>
      <c r="HZ189" s="834"/>
      <c r="IA189" s="834"/>
      <c r="IB189" s="834"/>
      <c r="IC189" s="834"/>
      <c r="ID189" s="834"/>
      <c r="IE189" s="834"/>
      <c r="IF189" s="834"/>
      <c r="IG189" s="834"/>
      <c r="IH189" s="834"/>
      <c r="II189" s="834"/>
      <c r="IJ189" s="834"/>
      <c r="IK189" s="834"/>
      <c r="IL189" s="834"/>
      <c r="IM189" s="834"/>
      <c r="IN189" s="834"/>
      <c r="IO189" s="834"/>
      <c r="IP189" s="834"/>
      <c r="IQ189" s="834"/>
      <c r="IR189" s="834"/>
      <c r="IS189" s="834"/>
      <c r="IT189" s="834"/>
      <c r="IU189" s="834"/>
      <c r="IV189" s="834"/>
      <c r="IW189" s="834"/>
      <c r="IX189" s="834"/>
      <c r="IY189" s="834"/>
      <c r="IZ189" s="834"/>
      <c r="JA189" s="834"/>
      <c r="JB189" s="834"/>
      <c r="JC189" s="834"/>
      <c r="JD189" s="834"/>
      <c r="JE189" s="834"/>
      <c r="JF189" s="834"/>
      <c r="JG189" s="834"/>
      <c r="JH189" s="834"/>
      <c r="JI189" s="834"/>
      <c r="JJ189" s="834"/>
      <c r="JK189" s="834"/>
      <c r="JL189" s="834"/>
      <c r="JM189" s="834"/>
      <c r="JN189" s="834"/>
      <c r="JO189" s="834"/>
      <c r="JP189" s="834"/>
      <c r="JQ189" s="834"/>
      <c r="JR189" s="834"/>
      <c r="JS189" s="834"/>
      <c r="JT189" s="834"/>
      <c r="JU189" s="834"/>
      <c r="JV189" s="834"/>
      <c r="JW189" s="834"/>
      <c r="JX189" s="834"/>
      <c r="JY189" s="834"/>
      <c r="JZ189" s="834"/>
      <c r="KA189" s="834"/>
      <c r="KB189" s="834"/>
      <c r="KC189" s="834"/>
      <c r="KD189" s="834"/>
      <c r="KE189" s="834"/>
      <c r="KF189" s="834"/>
      <c r="KG189" s="834"/>
      <c r="KH189" s="834"/>
      <c r="KI189" s="834"/>
      <c r="KJ189" s="834"/>
      <c r="KK189" s="834"/>
      <c r="KL189" s="834"/>
      <c r="KM189" s="834"/>
      <c r="KN189" s="834"/>
      <c r="KO189" s="834"/>
      <c r="KP189" s="834"/>
      <c r="KQ189" s="834"/>
      <c r="KR189" s="834"/>
      <c r="KS189" s="834"/>
      <c r="KT189" s="834"/>
      <c r="KU189" s="834"/>
      <c r="KV189" s="834"/>
      <c r="KW189" s="834"/>
      <c r="KX189" s="834"/>
      <c r="KY189" s="834"/>
      <c r="KZ189" s="834"/>
      <c r="LA189" s="834"/>
      <c r="LB189" s="834"/>
      <c r="LC189" s="834"/>
      <c r="LD189" s="834"/>
      <c r="LE189" s="834"/>
      <c r="LF189" s="834"/>
      <c r="LG189" s="834"/>
      <c r="LH189" s="834"/>
      <c r="LI189" s="834"/>
      <c r="LJ189" s="834"/>
      <c r="LK189" s="834"/>
      <c r="LL189" s="834"/>
      <c r="LM189" s="834"/>
      <c r="LN189" s="834"/>
      <c r="LO189" s="834"/>
      <c r="LP189" s="834"/>
      <c r="LQ189" s="834"/>
      <c r="LR189" s="834"/>
      <c r="LS189" s="834"/>
      <c r="LT189" s="834"/>
      <c r="LU189" s="834"/>
      <c r="LV189" s="834"/>
      <c r="LW189" s="834"/>
      <c r="LX189" s="834"/>
      <c r="LY189" s="834"/>
      <c r="LZ189" s="834"/>
      <c r="MA189" s="834"/>
      <c r="MB189" s="834"/>
      <c r="MC189" s="834"/>
      <c r="MD189" s="834"/>
      <c r="ME189" s="834"/>
      <c r="MF189" s="834"/>
      <c r="MG189" s="834"/>
      <c r="MH189" s="834"/>
      <c r="MI189" s="834"/>
      <c r="MJ189" s="834"/>
      <c r="MK189" s="834"/>
      <c r="ML189" s="834"/>
      <c r="MM189" s="834"/>
      <c r="MN189" s="834"/>
      <c r="MO189" s="834"/>
      <c r="MP189" s="834"/>
      <c r="MQ189" s="834"/>
      <c r="MR189" s="834"/>
      <c r="MS189" s="834"/>
      <c r="MT189" s="834"/>
      <c r="MU189" s="834"/>
      <c r="MV189" s="834"/>
      <c r="MW189" s="834"/>
      <c r="MX189" s="834"/>
      <c r="MY189" s="834"/>
      <c r="MZ189" s="834"/>
      <c r="NA189" s="834"/>
      <c r="NB189" s="834"/>
      <c r="NC189" s="834"/>
      <c r="ND189" s="834"/>
      <c r="NE189" s="834"/>
      <c r="NF189" s="834"/>
      <c r="NG189" s="834"/>
      <c r="NH189" s="834"/>
      <c r="NI189" s="834"/>
      <c r="NJ189" s="834"/>
      <c r="NK189" s="834"/>
      <c r="NL189" s="834"/>
      <c r="NM189" s="834"/>
      <c r="NN189" s="834"/>
      <c r="NO189" s="834"/>
      <c r="NP189" s="834"/>
      <c r="NQ189" s="834"/>
      <c r="NR189" s="834"/>
      <c r="NS189" s="834"/>
      <c r="NT189" s="834"/>
      <c r="NU189" s="834"/>
      <c r="NV189" s="834"/>
      <c r="NW189" s="834"/>
      <c r="NX189" s="834"/>
      <c r="NY189" s="834"/>
      <c r="NZ189" s="834"/>
      <c r="OA189" s="834"/>
      <c r="OB189" s="834"/>
      <c r="OC189" s="834"/>
      <c r="OD189" s="834"/>
      <c r="OE189" s="834"/>
      <c r="OF189" s="834"/>
      <c r="OG189" s="834"/>
      <c r="OH189" s="834"/>
      <c r="OI189" s="834"/>
      <c r="OJ189" s="834"/>
      <c r="OK189" s="834"/>
      <c r="OL189" s="834"/>
      <c r="OM189" s="834"/>
      <c r="ON189" s="834"/>
      <c r="OO189" s="834"/>
      <c r="OP189" s="834"/>
      <c r="OQ189" s="834"/>
      <c r="OR189" s="834"/>
      <c r="OS189" s="834"/>
      <c r="OT189" s="834"/>
      <c r="OU189" s="834"/>
      <c r="OV189" s="834"/>
      <c r="OW189" s="834"/>
      <c r="OX189" s="834"/>
      <c r="OY189" s="834"/>
      <c r="OZ189" s="834"/>
      <c r="PA189" s="834"/>
      <c r="PB189" s="834"/>
      <c r="PC189" s="834"/>
      <c r="PD189" s="834"/>
      <c r="PE189" s="834"/>
      <c r="PF189" s="834"/>
      <c r="PG189" s="834"/>
      <c r="PH189" s="834"/>
      <c r="PI189" s="834"/>
      <c r="PJ189" s="834"/>
      <c r="PK189" s="834"/>
      <c r="PL189" s="834"/>
      <c r="PM189" s="834"/>
      <c r="PN189" s="834"/>
      <c r="PO189" s="834"/>
      <c r="PP189" s="834"/>
      <c r="PQ189" s="834"/>
      <c r="PR189" s="834"/>
      <c r="PS189" s="834"/>
      <c r="PT189" s="834"/>
      <c r="PU189" s="834"/>
      <c r="PV189" s="834"/>
      <c r="PW189" s="834"/>
      <c r="PX189" s="834"/>
      <c r="PY189" s="834"/>
      <c r="PZ189" s="834"/>
      <c r="QA189" s="834"/>
      <c r="QB189" s="834"/>
      <c r="QC189" s="834"/>
      <c r="QD189" s="834"/>
      <c r="QE189" s="834"/>
      <c r="QF189" s="834"/>
      <c r="QG189" s="834"/>
      <c r="QH189" s="834"/>
      <c r="QI189" s="834"/>
      <c r="QJ189" s="834"/>
      <c r="QK189" s="834"/>
      <c r="QL189" s="834"/>
      <c r="QM189" s="834"/>
      <c r="QN189" s="834"/>
      <c r="QO189" s="834"/>
      <c r="QP189" s="834"/>
      <c r="QQ189" s="834"/>
      <c r="QR189" s="834"/>
      <c r="QS189" s="834"/>
      <c r="QT189" s="834"/>
      <c r="QU189" s="834"/>
      <c r="QV189" s="834"/>
      <c r="QW189" s="834"/>
      <c r="QX189" s="834"/>
      <c r="QY189" s="834"/>
      <c r="QZ189" s="834"/>
      <c r="RA189" s="834"/>
      <c r="RB189" s="834"/>
      <c r="RC189" s="834"/>
      <c r="RD189" s="834"/>
      <c r="RE189" s="834"/>
      <c r="RF189" s="834"/>
      <c r="RG189" s="834"/>
      <c r="RH189" s="834"/>
      <c r="RI189" s="834"/>
      <c r="RJ189" s="834"/>
      <c r="RK189" s="834"/>
      <c r="RL189" s="834"/>
      <c r="RM189" s="834"/>
      <c r="RN189" s="834"/>
      <c r="RO189" s="834"/>
      <c r="RP189" s="834"/>
      <c r="RQ189" s="834"/>
      <c r="RR189" s="834"/>
      <c r="RS189" s="834"/>
      <c r="RT189" s="834"/>
      <c r="RU189" s="834"/>
      <c r="RV189" s="834"/>
      <c r="RW189" s="834"/>
      <c r="RX189" s="834"/>
      <c r="RY189" s="834"/>
      <c r="RZ189" s="834"/>
      <c r="SA189" s="834"/>
      <c r="SB189" s="834"/>
      <c r="SC189" s="834"/>
      <c r="SD189" s="834"/>
      <c r="SE189" s="834"/>
      <c r="SF189" s="834"/>
      <c r="SG189" s="834"/>
      <c r="SH189" s="834"/>
      <c r="SI189" s="834"/>
      <c r="SJ189" s="834"/>
      <c r="SK189" s="834"/>
      <c r="SL189" s="834"/>
      <c r="SM189" s="834"/>
      <c r="SN189" s="834"/>
      <c r="SO189" s="834"/>
      <c r="SP189" s="834"/>
      <c r="SQ189" s="834"/>
      <c r="SR189" s="834"/>
      <c r="SS189" s="834"/>
      <c r="ST189" s="834"/>
      <c r="SU189" s="834"/>
      <c r="SV189" s="834"/>
      <c r="SW189" s="834"/>
      <c r="SX189" s="834"/>
      <c r="SY189" s="834"/>
      <c r="SZ189" s="834"/>
      <c r="TA189" s="834"/>
      <c r="TB189" s="834"/>
      <c r="TC189" s="834"/>
      <c r="TD189" s="834"/>
      <c r="TE189" s="834"/>
      <c r="TF189" s="834"/>
      <c r="TG189" s="834"/>
      <c r="TH189" s="834"/>
      <c r="TI189" s="834"/>
      <c r="TJ189" s="834"/>
      <c r="TK189" s="834"/>
      <c r="TL189" s="834"/>
      <c r="TM189" s="834"/>
      <c r="TN189" s="834"/>
      <c r="TO189" s="834"/>
      <c r="TP189" s="834"/>
      <c r="TQ189" s="834"/>
      <c r="TR189" s="834"/>
      <c r="TS189" s="834"/>
      <c r="TT189" s="834"/>
      <c r="TU189" s="834"/>
      <c r="TV189" s="834"/>
      <c r="TW189" s="834"/>
      <c r="TX189" s="834"/>
      <c r="TY189" s="834"/>
      <c r="TZ189" s="834"/>
      <c r="UA189" s="834"/>
      <c r="UB189" s="834"/>
      <c r="UC189" s="834"/>
      <c r="UD189" s="834"/>
      <c r="UE189" s="834"/>
      <c r="UF189" s="834"/>
      <c r="UG189" s="834"/>
      <c r="UH189" s="834"/>
      <c r="UI189" s="834"/>
      <c r="UJ189" s="834"/>
      <c r="UK189" s="834"/>
      <c r="UL189" s="834"/>
      <c r="UM189" s="834"/>
      <c r="UN189" s="834"/>
      <c r="UO189" s="834"/>
      <c r="UP189" s="834"/>
      <c r="UQ189" s="834"/>
      <c r="UR189" s="834"/>
      <c r="US189" s="834"/>
      <c r="UT189" s="834"/>
      <c r="UU189" s="834"/>
      <c r="UV189" s="834"/>
      <c r="UW189" s="834"/>
      <c r="UX189" s="834"/>
      <c r="UY189" s="834"/>
      <c r="UZ189" s="834"/>
      <c r="VA189" s="834"/>
      <c r="VB189" s="834"/>
      <c r="VC189" s="834"/>
      <c r="VD189" s="834"/>
      <c r="VE189" s="834"/>
      <c r="VF189" s="834"/>
      <c r="VG189" s="834"/>
      <c r="VH189" s="834"/>
      <c r="VI189" s="834"/>
      <c r="VJ189" s="834"/>
      <c r="VK189" s="834"/>
      <c r="VL189" s="834"/>
      <c r="VM189" s="834"/>
      <c r="VN189" s="834"/>
      <c r="VO189" s="834"/>
      <c r="VP189" s="834"/>
      <c r="VQ189" s="834"/>
      <c r="VR189" s="834"/>
      <c r="VS189" s="834"/>
      <c r="VT189" s="834"/>
      <c r="VU189" s="834"/>
      <c r="VV189" s="834"/>
      <c r="VW189" s="834"/>
      <c r="VX189" s="834"/>
      <c r="VY189" s="834"/>
      <c r="VZ189" s="834"/>
      <c r="WA189" s="834"/>
      <c r="WB189" s="834"/>
      <c r="WC189" s="834"/>
      <c r="WD189" s="834"/>
      <c r="WE189" s="834"/>
      <c r="WF189" s="834"/>
      <c r="WG189" s="834"/>
      <c r="WH189" s="834"/>
      <c r="WI189" s="834"/>
      <c r="WJ189" s="834"/>
      <c r="WK189" s="834"/>
      <c r="WL189" s="834"/>
      <c r="WM189" s="834"/>
      <c r="WN189" s="834"/>
      <c r="WO189" s="834"/>
      <c r="WP189" s="834"/>
      <c r="WQ189" s="834"/>
      <c r="WR189" s="834"/>
      <c r="WS189" s="834"/>
      <c r="WT189" s="834"/>
      <c r="WU189" s="834"/>
      <c r="WV189" s="834"/>
      <c r="WW189" s="834"/>
      <c r="WX189" s="834"/>
      <c r="WY189" s="834"/>
      <c r="WZ189" s="834"/>
      <c r="XA189" s="834"/>
      <c r="XB189" s="834"/>
      <c r="XC189" s="834"/>
      <c r="XD189" s="834"/>
      <c r="XE189" s="834"/>
      <c r="XF189" s="834"/>
      <c r="XG189" s="834"/>
      <c r="XH189" s="834"/>
      <c r="XI189" s="834"/>
      <c r="XJ189" s="834"/>
      <c r="XK189" s="834"/>
      <c r="XL189" s="834"/>
      <c r="XM189" s="834"/>
      <c r="XN189" s="834"/>
      <c r="XO189" s="834"/>
      <c r="XP189" s="834"/>
      <c r="XQ189" s="834"/>
      <c r="XR189" s="834"/>
      <c r="XS189" s="834"/>
      <c r="XT189" s="834"/>
      <c r="XU189" s="834"/>
      <c r="XV189" s="834"/>
      <c r="XW189" s="834"/>
      <c r="XX189" s="834"/>
      <c r="XY189" s="834"/>
      <c r="XZ189" s="834"/>
      <c r="YA189" s="834"/>
      <c r="YB189" s="834"/>
      <c r="YC189" s="834"/>
      <c r="YD189" s="834"/>
      <c r="YE189" s="834"/>
      <c r="YF189" s="834"/>
      <c r="YG189" s="834"/>
      <c r="YH189" s="834"/>
      <c r="YI189" s="834"/>
      <c r="YJ189" s="834"/>
      <c r="YK189" s="834"/>
      <c r="YL189" s="834"/>
      <c r="YM189" s="834"/>
      <c r="YN189" s="834"/>
      <c r="YO189" s="834"/>
      <c r="YP189" s="834"/>
      <c r="YQ189" s="834"/>
      <c r="YR189" s="834"/>
      <c r="YS189" s="834"/>
      <c r="YT189" s="834"/>
      <c r="YU189" s="834"/>
      <c r="YV189" s="834"/>
      <c r="YW189" s="834"/>
      <c r="YX189" s="834"/>
      <c r="YY189" s="834"/>
      <c r="YZ189" s="834"/>
      <c r="ZA189" s="834"/>
      <c r="ZB189" s="834"/>
      <c r="ZC189" s="834"/>
      <c r="ZD189" s="834"/>
      <c r="ZE189" s="834"/>
      <c r="ZF189" s="834"/>
      <c r="ZG189" s="834"/>
      <c r="ZH189" s="834"/>
      <c r="ZI189" s="834"/>
      <c r="ZJ189" s="834"/>
      <c r="ZK189" s="834"/>
      <c r="ZL189" s="834"/>
      <c r="ZM189" s="834"/>
      <c r="ZN189" s="834"/>
      <c r="ZO189" s="834"/>
      <c r="ZP189" s="834"/>
      <c r="ZQ189" s="834"/>
      <c r="ZR189" s="834"/>
      <c r="ZS189" s="834"/>
      <c r="ZT189" s="834"/>
      <c r="ZU189" s="834"/>
      <c r="ZV189" s="834"/>
      <c r="ZW189" s="834"/>
      <c r="ZX189" s="834"/>
      <c r="ZY189" s="834"/>
      <c r="ZZ189" s="834"/>
      <c r="AAA189" s="834"/>
      <c r="AAB189" s="834"/>
      <c r="AAC189" s="834"/>
      <c r="AAD189" s="834"/>
      <c r="AAE189" s="834"/>
      <c r="AAF189" s="834"/>
      <c r="AAG189" s="834"/>
      <c r="AAH189" s="834"/>
      <c r="AAI189" s="834"/>
      <c r="AAJ189" s="834"/>
      <c r="AAK189" s="834"/>
      <c r="AAL189" s="834"/>
      <c r="AAM189" s="834"/>
      <c r="AAN189" s="834"/>
      <c r="AAO189" s="834"/>
      <c r="AAP189" s="834"/>
      <c r="AAQ189" s="834"/>
      <c r="AAR189" s="834"/>
      <c r="AAS189" s="834"/>
      <c r="AAT189" s="834"/>
      <c r="AAU189" s="834"/>
      <c r="AAV189" s="834"/>
      <c r="AAW189" s="834"/>
      <c r="AAX189" s="834"/>
      <c r="AAY189" s="834"/>
      <c r="AAZ189" s="834"/>
      <c r="ABA189" s="834"/>
      <c r="ABB189" s="834"/>
      <c r="ABC189" s="834"/>
      <c r="ABD189" s="834"/>
      <c r="ABE189" s="834"/>
      <c r="ABF189" s="834"/>
      <c r="ABG189" s="834"/>
      <c r="ABH189" s="834"/>
      <c r="ABI189" s="834"/>
      <c r="ABJ189" s="834"/>
      <c r="ABK189" s="834"/>
      <c r="ABL189" s="834"/>
      <c r="ABM189" s="834"/>
      <c r="ABN189" s="834"/>
      <c r="ABO189" s="834"/>
      <c r="ABP189" s="834"/>
      <c r="ABQ189" s="834"/>
      <c r="ABR189" s="834"/>
      <c r="ABS189" s="834"/>
      <c r="ABT189" s="834"/>
      <c r="ABU189" s="834"/>
      <c r="ABV189" s="834"/>
      <c r="ABW189" s="834"/>
      <c r="ABX189" s="834"/>
      <c r="ABY189" s="834"/>
      <c r="ABZ189" s="834"/>
      <c r="ACA189" s="834"/>
      <c r="ACB189" s="834"/>
      <c r="ACC189" s="834"/>
      <c r="ACD189" s="834"/>
      <c r="ACE189" s="834"/>
      <c r="ACF189" s="834"/>
      <c r="ACG189" s="834"/>
      <c r="ACH189" s="834"/>
      <c r="ACI189" s="834"/>
      <c r="ACJ189" s="834"/>
      <c r="ACK189" s="834"/>
      <c r="ACL189" s="834"/>
      <c r="ACM189" s="834"/>
      <c r="ACN189" s="834"/>
      <c r="ACO189" s="834"/>
      <c r="ACP189" s="834"/>
      <c r="ACQ189" s="834"/>
      <c r="ACR189" s="834"/>
      <c r="ACS189" s="834"/>
      <c r="ACT189" s="834"/>
      <c r="ACU189" s="834"/>
      <c r="ACV189" s="834"/>
      <c r="ACW189" s="834"/>
      <c r="ACX189" s="834"/>
      <c r="ACY189" s="834"/>
      <c r="ACZ189" s="834"/>
      <c r="ADA189" s="834"/>
      <c r="ADB189" s="834"/>
      <c r="ADC189" s="834"/>
      <c r="ADD189" s="834"/>
      <c r="ADE189" s="834"/>
      <c r="ADF189" s="834"/>
      <c r="ADG189" s="834"/>
      <c r="ADH189" s="834"/>
      <c r="ADI189" s="834"/>
      <c r="ADJ189" s="834"/>
      <c r="ADK189" s="834"/>
      <c r="ADL189" s="834"/>
      <c r="ADM189" s="834"/>
      <c r="ADN189" s="834"/>
      <c r="ADO189" s="834"/>
      <c r="ADP189" s="834"/>
      <c r="ADQ189" s="834"/>
      <c r="ADR189" s="834"/>
      <c r="ADS189" s="834"/>
      <c r="ADT189" s="834"/>
      <c r="ADU189" s="834"/>
      <c r="ADV189" s="834"/>
      <c r="ADW189" s="834"/>
      <c r="ADX189" s="834"/>
      <c r="ADY189" s="834"/>
      <c r="ADZ189" s="834"/>
      <c r="AEA189" s="834"/>
      <c r="AEB189" s="834"/>
      <c r="AEC189" s="834"/>
      <c r="AED189" s="834"/>
      <c r="AEE189" s="834"/>
      <c r="AEF189" s="834"/>
      <c r="AEG189" s="834"/>
      <c r="AEH189" s="834"/>
      <c r="AEI189" s="834"/>
      <c r="AEJ189" s="834"/>
      <c r="AEK189" s="834"/>
      <c r="AEL189" s="834"/>
      <c r="AEM189" s="834"/>
      <c r="AEN189" s="834"/>
      <c r="AEO189" s="834"/>
      <c r="AEP189" s="834"/>
      <c r="AEQ189" s="834"/>
      <c r="AER189" s="834"/>
      <c r="AES189" s="834"/>
      <c r="AET189" s="834"/>
      <c r="AEU189" s="834"/>
      <c r="AEV189" s="834"/>
      <c r="AEW189" s="834"/>
      <c r="AEX189" s="834"/>
      <c r="AEY189" s="834"/>
      <c r="AEZ189" s="834"/>
      <c r="AFA189" s="834"/>
      <c r="AFB189" s="834"/>
      <c r="AFC189" s="834"/>
      <c r="AFD189" s="834"/>
      <c r="AFE189" s="834"/>
      <c r="AFF189" s="834"/>
      <c r="AFG189" s="834"/>
      <c r="AFH189" s="834"/>
      <c r="AFI189" s="834"/>
      <c r="AFJ189" s="834"/>
      <c r="AFK189" s="834"/>
      <c r="AFL189" s="834"/>
      <c r="AFM189" s="834"/>
      <c r="AFN189" s="834"/>
      <c r="AFO189" s="834"/>
      <c r="AFP189" s="834"/>
      <c r="AFQ189" s="834"/>
      <c r="AFR189" s="834"/>
      <c r="AFS189" s="834"/>
      <c r="AFT189" s="834"/>
      <c r="AFU189" s="834"/>
      <c r="AFV189" s="834"/>
      <c r="AFW189" s="834"/>
      <c r="AFX189" s="834"/>
      <c r="AFY189" s="834"/>
      <c r="AFZ189" s="834"/>
      <c r="AGA189" s="834"/>
      <c r="AGB189" s="834"/>
      <c r="AGC189" s="834"/>
      <c r="AGD189" s="834"/>
      <c r="AGE189" s="834"/>
      <c r="AGF189" s="834"/>
      <c r="AGG189" s="834"/>
      <c r="AGH189" s="834"/>
      <c r="AGI189" s="834"/>
      <c r="AGJ189" s="834"/>
      <c r="AGK189" s="834"/>
      <c r="AGL189" s="834"/>
      <c r="AGM189" s="834"/>
      <c r="AGN189" s="834"/>
      <c r="AGO189" s="834"/>
      <c r="AGP189" s="834"/>
      <c r="AGQ189" s="834"/>
      <c r="AGR189" s="834"/>
      <c r="AGS189" s="834"/>
      <c r="AGT189" s="834"/>
      <c r="AGU189" s="834"/>
      <c r="AGV189" s="834"/>
      <c r="AGW189" s="834"/>
      <c r="AGX189" s="834"/>
      <c r="AGY189" s="834"/>
      <c r="AGZ189" s="834"/>
      <c r="AHA189" s="834"/>
      <c r="AHB189" s="834"/>
      <c r="AHC189" s="834"/>
      <c r="AHD189" s="834"/>
      <c r="AHE189" s="834"/>
      <c r="AHF189" s="834"/>
      <c r="AHG189" s="834"/>
      <c r="AHH189" s="834"/>
      <c r="AHI189" s="834"/>
      <c r="AHJ189" s="834"/>
      <c r="AHK189" s="834"/>
      <c r="AHL189" s="834"/>
      <c r="AHM189" s="834"/>
      <c r="AHN189" s="834"/>
      <c r="AHO189" s="834"/>
      <c r="AHP189" s="834"/>
      <c r="AHQ189" s="834"/>
      <c r="AHR189" s="834"/>
      <c r="AHS189" s="834"/>
      <c r="AHT189" s="834"/>
      <c r="AHU189" s="834"/>
      <c r="AHV189" s="834"/>
      <c r="AHW189" s="834"/>
      <c r="AHX189" s="834"/>
      <c r="AHY189" s="834"/>
      <c r="AHZ189" s="834"/>
      <c r="AIA189" s="834"/>
      <c r="AIB189" s="834"/>
      <c r="AIC189" s="834"/>
      <c r="AID189" s="834"/>
      <c r="AIE189" s="834"/>
      <c r="AIF189" s="834"/>
      <c r="AIG189" s="834"/>
      <c r="AIH189" s="834"/>
      <c r="AII189" s="834"/>
      <c r="AIJ189" s="834"/>
      <c r="AIK189" s="834"/>
      <c r="AIL189" s="834"/>
      <c r="AIM189" s="834"/>
      <c r="AIN189" s="834"/>
      <c r="AIO189" s="834"/>
      <c r="AIP189" s="834"/>
      <c r="AIQ189" s="834"/>
      <c r="AIR189" s="834"/>
      <c r="AIS189" s="834"/>
      <c r="AIT189" s="834"/>
      <c r="AIU189" s="834"/>
      <c r="AIV189" s="834"/>
      <c r="AIW189" s="834"/>
      <c r="AIX189" s="834"/>
      <c r="AIY189" s="834"/>
      <c r="AIZ189" s="834"/>
      <c r="AJA189" s="834"/>
      <c r="AJB189" s="834"/>
      <c r="AJC189" s="834"/>
      <c r="AJD189" s="834"/>
      <c r="AJE189" s="834"/>
      <c r="AJF189" s="834"/>
      <c r="AJG189" s="834"/>
      <c r="AJH189" s="834"/>
      <c r="AJI189" s="834"/>
      <c r="AJJ189" s="834"/>
      <c r="AJK189" s="834"/>
      <c r="AJL189" s="834"/>
      <c r="AJM189" s="834"/>
      <c r="AJN189" s="834"/>
      <c r="AJO189" s="834"/>
      <c r="AJP189" s="834"/>
      <c r="AJQ189" s="834"/>
      <c r="AJR189" s="834"/>
      <c r="AJS189" s="834"/>
      <c r="AJT189" s="834"/>
      <c r="AJU189" s="834"/>
      <c r="AJV189" s="834"/>
      <c r="AJW189" s="834"/>
      <c r="AJX189" s="834"/>
      <c r="AJY189" s="834"/>
      <c r="AJZ189" s="834"/>
      <c r="AKA189" s="834"/>
      <c r="AKB189" s="834"/>
      <c r="AKC189" s="834"/>
      <c r="AKD189" s="834"/>
      <c r="AKE189" s="834"/>
      <c r="AKF189" s="834"/>
      <c r="AKG189" s="834"/>
      <c r="AKH189" s="834"/>
      <c r="AKI189" s="834"/>
      <c r="AKJ189" s="834"/>
      <c r="AKK189" s="834"/>
      <c r="AKL189" s="834"/>
      <c r="AKM189" s="834"/>
      <c r="AKN189" s="834"/>
      <c r="AKO189" s="834"/>
      <c r="AKP189" s="834"/>
      <c r="AKQ189" s="834"/>
      <c r="AKR189" s="834"/>
      <c r="AKS189" s="834"/>
      <c r="AKT189" s="834"/>
      <c r="AKU189" s="834"/>
      <c r="AKV189" s="834"/>
      <c r="AKW189" s="834"/>
      <c r="AKX189" s="834"/>
      <c r="AKY189" s="834"/>
      <c r="AKZ189" s="834"/>
      <c r="ALA189" s="834"/>
      <c r="ALB189" s="834"/>
      <c r="ALC189" s="834"/>
      <c r="ALD189" s="834"/>
      <c r="ALE189" s="834"/>
      <c r="ALF189" s="834"/>
      <c r="ALG189" s="834"/>
      <c r="ALH189" s="834"/>
      <c r="ALI189" s="834"/>
      <c r="ALJ189" s="834"/>
      <c r="ALK189" s="834"/>
      <c r="ALL189" s="834"/>
      <c r="ALM189" s="834"/>
      <c r="ALN189" s="834"/>
      <c r="ALO189" s="834"/>
      <c r="ALP189" s="834"/>
      <c r="ALQ189" s="834"/>
      <c r="ALR189" s="834"/>
      <c r="ALS189" s="834"/>
      <c r="ALT189" s="834"/>
      <c r="ALU189" s="834"/>
      <c r="ALV189" s="834"/>
      <c r="ALW189" s="834"/>
      <c r="ALX189" s="834"/>
      <c r="ALY189" s="834"/>
      <c r="ALZ189" s="834"/>
      <c r="AMA189" s="834"/>
      <c r="AMB189" s="834"/>
      <c r="AMC189" s="834"/>
      <c r="AMD189" s="834"/>
      <c r="AME189" s="834"/>
      <c r="AMF189" s="834"/>
      <c r="AMG189" s="834"/>
      <c r="AMH189" s="834"/>
      <c r="AMI189" s="834"/>
      <c r="AMJ189" s="834"/>
      <c r="AMK189" s="834"/>
      <c r="AML189" s="834"/>
    </row>
    <row r="190" spans="1:1026" ht="36" customHeight="1">
      <c r="A190" s="844"/>
      <c r="B190" s="977" t="s">
        <v>464</v>
      </c>
      <c r="C190" s="414" t="s">
        <v>465</v>
      </c>
      <c r="D190" s="436" t="s">
        <v>466</v>
      </c>
      <c r="E190" s="414" t="s">
        <v>60</v>
      </c>
      <c r="F190" s="964">
        <f>Plan1!D141</f>
        <v>9</v>
      </c>
      <c r="G190" s="893">
        <f t="shared" ref="G190" si="38">K190</f>
        <v>23.37</v>
      </c>
      <c r="H190" s="883">
        <f>F190*G190</f>
        <v>210.33</v>
      </c>
      <c r="I190" s="844"/>
      <c r="J190" s="981">
        <f>composições!F829</f>
        <v>18.456</v>
      </c>
      <c r="K190" s="842">
        <f t="shared" ref="K190" si="39">ROUND(J190*(1+$H$14),2)</f>
        <v>23.37</v>
      </c>
    </row>
    <row r="191" spans="1:1026" ht="36" customHeight="1">
      <c r="A191" s="844"/>
      <c r="B191" s="977" t="s">
        <v>467</v>
      </c>
      <c r="C191" s="414" t="s">
        <v>468</v>
      </c>
      <c r="D191" s="436" t="s">
        <v>469</v>
      </c>
      <c r="E191" s="414" t="s">
        <v>60</v>
      </c>
      <c r="F191" s="964">
        <f>Plan1!D142</f>
        <v>11</v>
      </c>
      <c r="G191" s="893">
        <f t="shared" ref="G191:G200" si="40">K191</f>
        <v>6.02</v>
      </c>
      <c r="H191" s="883">
        <f t="shared" ref="H191:H200" si="41">F191*G191</f>
        <v>66.22</v>
      </c>
      <c r="I191" s="844"/>
      <c r="J191" s="981">
        <f>composições!F865</f>
        <v>4.7560000000000002</v>
      </c>
      <c r="K191" s="842">
        <f t="shared" ref="K191:K200" si="42">ROUND(J191*(1+$H$14),2)</f>
        <v>6.02</v>
      </c>
    </row>
    <row r="192" spans="1:1026" ht="36" customHeight="1">
      <c r="A192" s="844"/>
      <c r="B192" s="977" t="s">
        <v>470</v>
      </c>
      <c r="C192" s="414" t="s">
        <v>471</v>
      </c>
      <c r="D192" s="437" t="s">
        <v>472</v>
      </c>
      <c r="E192" s="414" t="s">
        <v>60</v>
      </c>
      <c r="F192" s="964">
        <f>Plan1!D143</f>
        <v>16</v>
      </c>
      <c r="G192" s="893">
        <f t="shared" si="40"/>
        <v>20.8</v>
      </c>
      <c r="H192" s="883">
        <f t="shared" si="41"/>
        <v>332.8</v>
      </c>
      <c r="I192" s="844"/>
      <c r="J192" s="981">
        <v>16.43</v>
      </c>
      <c r="K192" s="842">
        <f t="shared" si="42"/>
        <v>20.8</v>
      </c>
    </row>
    <row r="193" spans="1:1026" ht="36" customHeight="1">
      <c r="A193" s="844"/>
      <c r="B193" s="977" t="s">
        <v>473</v>
      </c>
      <c r="C193" s="414" t="s">
        <v>474</v>
      </c>
      <c r="D193" s="437" t="s">
        <v>475</v>
      </c>
      <c r="E193" s="414" t="s">
        <v>60</v>
      </c>
      <c r="F193" s="964">
        <f>Plan1!D144</f>
        <v>12</v>
      </c>
      <c r="G193" s="893">
        <f t="shared" si="40"/>
        <v>7.58</v>
      </c>
      <c r="H193" s="883">
        <f t="shared" si="41"/>
        <v>90.960000000000008</v>
      </c>
      <c r="I193" s="844"/>
      <c r="J193" s="981">
        <v>5.99</v>
      </c>
      <c r="K193" s="842">
        <f t="shared" si="42"/>
        <v>7.58</v>
      </c>
    </row>
    <row r="194" spans="1:1026" ht="36" customHeight="1">
      <c r="A194" s="844"/>
      <c r="B194" s="977" t="s">
        <v>476</v>
      </c>
      <c r="C194" s="414" t="s">
        <v>477</v>
      </c>
      <c r="D194" s="438" t="s">
        <v>478</v>
      </c>
      <c r="E194" s="414" t="s">
        <v>60</v>
      </c>
      <c r="F194" s="964">
        <f>Plan1!D145</f>
        <v>10</v>
      </c>
      <c r="G194" s="893">
        <f t="shared" si="40"/>
        <v>12.21</v>
      </c>
      <c r="H194" s="883">
        <f t="shared" si="41"/>
        <v>122.10000000000001</v>
      </c>
      <c r="I194" s="844"/>
      <c r="J194" s="981">
        <v>9.64</v>
      </c>
      <c r="K194" s="842">
        <f t="shared" si="42"/>
        <v>12.21</v>
      </c>
    </row>
    <row r="195" spans="1:1026" ht="36" customHeight="1">
      <c r="A195" s="844"/>
      <c r="B195" s="977" t="s">
        <v>479</v>
      </c>
      <c r="C195" s="420" t="s">
        <v>480</v>
      </c>
      <c r="D195" s="430" t="s">
        <v>481</v>
      </c>
      <c r="E195" s="414" t="s">
        <v>60</v>
      </c>
      <c r="F195" s="964">
        <f>Plan1!D146</f>
        <v>13</v>
      </c>
      <c r="G195" s="893">
        <f t="shared" si="40"/>
        <v>47.2</v>
      </c>
      <c r="H195" s="883">
        <f t="shared" si="41"/>
        <v>613.6</v>
      </c>
      <c r="I195" s="844"/>
      <c r="J195" s="981">
        <v>37.28</v>
      </c>
      <c r="K195" s="842">
        <f t="shared" si="42"/>
        <v>47.2</v>
      </c>
    </row>
    <row r="196" spans="1:1026" ht="36" customHeight="1">
      <c r="A196" s="844"/>
      <c r="B196" s="977" t="s">
        <v>482</v>
      </c>
      <c r="C196" s="414" t="s">
        <v>483</v>
      </c>
      <c r="D196" s="438" t="s">
        <v>484</v>
      </c>
      <c r="E196" s="414" t="s">
        <v>60</v>
      </c>
      <c r="F196" s="964">
        <f>Plan1!D147</f>
        <v>9</v>
      </c>
      <c r="G196" s="893">
        <f t="shared" si="40"/>
        <v>52.1</v>
      </c>
      <c r="H196" s="883">
        <f t="shared" si="41"/>
        <v>468.90000000000003</v>
      </c>
      <c r="I196" s="844"/>
      <c r="J196" s="981">
        <v>41.15</v>
      </c>
      <c r="K196" s="842">
        <f t="shared" si="42"/>
        <v>52.1</v>
      </c>
    </row>
    <row r="197" spans="1:1026" ht="36" customHeight="1">
      <c r="A197" s="844"/>
      <c r="B197" s="977" t="s">
        <v>485</v>
      </c>
      <c r="C197" s="414" t="s">
        <v>486</v>
      </c>
      <c r="D197" s="438" t="s">
        <v>487</v>
      </c>
      <c r="E197" s="414" t="s">
        <v>60</v>
      </c>
      <c r="F197" s="964">
        <f>Plan1!D148</f>
        <v>6</v>
      </c>
      <c r="G197" s="893">
        <f t="shared" si="40"/>
        <v>23.97</v>
      </c>
      <c r="H197" s="883">
        <f t="shared" si="41"/>
        <v>143.82</v>
      </c>
      <c r="I197" s="844"/>
      <c r="J197" s="981">
        <v>18.93</v>
      </c>
      <c r="K197" s="842">
        <f t="shared" si="42"/>
        <v>23.97</v>
      </c>
    </row>
    <row r="198" spans="1:1026" ht="36" customHeight="1">
      <c r="A198" s="844"/>
      <c r="B198" s="977" t="s">
        <v>488</v>
      </c>
      <c r="C198" s="420" t="s">
        <v>489</v>
      </c>
      <c r="D198" s="430" t="s">
        <v>490</v>
      </c>
      <c r="E198" s="414" t="s">
        <v>60</v>
      </c>
      <c r="F198" s="964">
        <f>Plan1!D149</f>
        <v>7</v>
      </c>
      <c r="G198" s="893">
        <f t="shared" si="40"/>
        <v>250.79</v>
      </c>
      <c r="H198" s="883">
        <f t="shared" si="41"/>
        <v>1755.53</v>
      </c>
      <c r="I198" s="844"/>
      <c r="J198" s="981">
        <v>198.08</v>
      </c>
      <c r="K198" s="842">
        <f t="shared" si="42"/>
        <v>250.79</v>
      </c>
    </row>
    <row r="199" spans="1:1026" ht="36" customHeight="1">
      <c r="A199" s="844"/>
      <c r="B199" s="977" t="s">
        <v>491</v>
      </c>
      <c r="C199" s="414" t="s">
        <v>492</v>
      </c>
      <c r="D199" s="438" t="s">
        <v>493</v>
      </c>
      <c r="E199" s="414" t="s">
        <v>60</v>
      </c>
      <c r="F199" s="964">
        <f>Plan1!D150</f>
        <v>15</v>
      </c>
      <c r="G199" s="893">
        <f t="shared" si="40"/>
        <v>44.73</v>
      </c>
      <c r="H199" s="883">
        <f t="shared" si="41"/>
        <v>670.94999999999993</v>
      </c>
      <c r="I199" s="844"/>
      <c r="J199" s="981">
        <v>35.33</v>
      </c>
      <c r="K199" s="842">
        <f t="shared" si="42"/>
        <v>44.73</v>
      </c>
    </row>
    <row r="200" spans="1:1026" ht="36" customHeight="1">
      <c r="A200" s="844"/>
      <c r="B200" s="977" t="s">
        <v>494</v>
      </c>
      <c r="C200" s="414" t="s">
        <v>495</v>
      </c>
      <c r="D200" s="438" t="s">
        <v>496</v>
      </c>
      <c r="E200" s="414" t="s">
        <v>60</v>
      </c>
      <c r="F200" s="964">
        <f>Plan1!D151</f>
        <v>8</v>
      </c>
      <c r="G200" s="893">
        <f t="shared" si="40"/>
        <v>21.68</v>
      </c>
      <c r="H200" s="883">
        <f t="shared" si="41"/>
        <v>173.44</v>
      </c>
      <c r="I200" s="844"/>
      <c r="J200" s="981">
        <v>17.12</v>
      </c>
      <c r="K200" s="842">
        <f t="shared" si="42"/>
        <v>21.68</v>
      </c>
    </row>
    <row r="201" spans="1:1026" s="427" customFormat="1" ht="36" customHeight="1">
      <c r="A201" s="844"/>
      <c r="B201" s="977" t="s">
        <v>497</v>
      </c>
      <c r="C201" s="439" t="s">
        <v>498</v>
      </c>
      <c r="D201" s="423" t="s">
        <v>499</v>
      </c>
      <c r="E201" s="439" t="s">
        <v>60</v>
      </c>
      <c r="F201" s="985">
        <f>Plan1!D152</f>
        <v>10</v>
      </c>
      <c r="G201" s="893">
        <f t="shared" ref="G201:G203" si="43">K201</f>
        <v>95.43</v>
      </c>
      <c r="H201" s="883">
        <f t="shared" ref="H201:H205" si="44">F201*G201</f>
        <v>954.30000000000007</v>
      </c>
      <c r="I201" s="844"/>
      <c r="J201" s="993">
        <v>75.37</v>
      </c>
      <c r="K201" s="842">
        <f t="shared" ref="K201:K203" si="45">ROUND(J201*(1+$H$14),2)</f>
        <v>95.43</v>
      </c>
      <c r="L201" s="843"/>
      <c r="M201" s="843"/>
      <c r="N201" s="843"/>
      <c r="O201" s="843"/>
      <c r="P201" s="843"/>
      <c r="Q201" s="843"/>
      <c r="R201" s="843"/>
      <c r="S201" s="843"/>
      <c r="T201" s="843"/>
      <c r="U201" s="843"/>
      <c r="V201" s="843"/>
      <c r="W201" s="843"/>
      <c r="X201" s="843"/>
      <c r="Y201" s="843"/>
      <c r="Z201" s="843"/>
      <c r="AA201" s="843"/>
      <c r="AB201" s="843"/>
      <c r="AC201" s="843"/>
      <c r="AD201" s="843"/>
      <c r="AE201" s="843"/>
      <c r="AF201" s="843"/>
      <c r="AG201" s="843"/>
      <c r="AH201" s="843"/>
      <c r="AI201" s="843"/>
      <c r="AJ201" s="843"/>
      <c r="AK201" s="843"/>
      <c r="AL201" s="843"/>
      <c r="AM201" s="843"/>
      <c r="AN201" s="843"/>
      <c r="AO201" s="843"/>
      <c r="AP201" s="843"/>
      <c r="AQ201" s="843"/>
      <c r="AR201" s="843"/>
      <c r="AS201" s="843"/>
      <c r="AT201" s="843"/>
      <c r="AU201" s="843"/>
      <c r="AV201" s="843"/>
      <c r="AW201" s="843"/>
      <c r="AX201" s="843"/>
      <c r="AY201" s="843"/>
      <c r="AZ201" s="843"/>
      <c r="BA201" s="843"/>
      <c r="BB201" s="843"/>
      <c r="BC201" s="843"/>
      <c r="BD201" s="843"/>
      <c r="BE201" s="843"/>
      <c r="BF201" s="843"/>
      <c r="BG201" s="843"/>
      <c r="BH201" s="843"/>
      <c r="BI201" s="843"/>
      <c r="BJ201" s="843"/>
      <c r="BK201" s="843"/>
      <c r="BL201" s="843"/>
      <c r="BM201" s="843"/>
      <c r="BN201" s="843"/>
      <c r="BO201" s="843"/>
      <c r="BP201" s="843"/>
      <c r="BQ201" s="843"/>
      <c r="BR201" s="843"/>
      <c r="BS201" s="843"/>
      <c r="BT201" s="843"/>
      <c r="BU201" s="843"/>
      <c r="BV201" s="843"/>
      <c r="BW201" s="843"/>
      <c r="BX201" s="843"/>
      <c r="BY201" s="843"/>
      <c r="BZ201" s="843"/>
      <c r="CA201" s="843"/>
      <c r="CB201" s="843"/>
      <c r="CC201" s="843"/>
      <c r="CD201" s="843"/>
      <c r="CE201" s="843"/>
      <c r="CF201" s="843"/>
      <c r="CG201" s="843"/>
      <c r="CH201" s="843"/>
      <c r="CI201" s="843"/>
      <c r="CJ201" s="843"/>
      <c r="CK201" s="843"/>
      <c r="CL201" s="843"/>
      <c r="CM201" s="843"/>
      <c r="CN201" s="843"/>
      <c r="CO201" s="843"/>
      <c r="CP201" s="843"/>
      <c r="CQ201" s="843"/>
      <c r="CR201" s="843"/>
      <c r="CS201" s="843"/>
      <c r="CT201" s="843"/>
      <c r="CU201" s="843"/>
      <c r="CV201" s="843"/>
      <c r="CW201" s="843"/>
      <c r="CX201" s="843"/>
      <c r="CY201" s="843"/>
      <c r="CZ201" s="843"/>
      <c r="DA201" s="843"/>
      <c r="DB201" s="843"/>
      <c r="DC201" s="843"/>
      <c r="DD201" s="843"/>
      <c r="DE201" s="843"/>
      <c r="DF201" s="843"/>
      <c r="DG201" s="843"/>
      <c r="DH201" s="843"/>
      <c r="DI201" s="843"/>
      <c r="DJ201" s="843"/>
      <c r="DK201" s="843"/>
      <c r="DL201" s="843"/>
      <c r="DM201" s="843"/>
      <c r="DN201" s="843"/>
      <c r="DO201" s="843"/>
      <c r="DP201" s="843"/>
      <c r="DQ201" s="843"/>
      <c r="DR201" s="843"/>
      <c r="DS201" s="843"/>
      <c r="DT201" s="843"/>
      <c r="DU201" s="843"/>
      <c r="DV201" s="843"/>
      <c r="DW201" s="843"/>
      <c r="DX201" s="843"/>
      <c r="DY201" s="843"/>
      <c r="DZ201" s="843"/>
      <c r="EA201" s="843"/>
      <c r="EB201" s="843"/>
      <c r="EC201" s="843"/>
      <c r="ED201" s="843"/>
      <c r="EE201" s="843"/>
      <c r="EF201" s="843"/>
      <c r="EG201" s="843"/>
      <c r="EH201" s="843"/>
      <c r="EI201" s="843"/>
      <c r="EJ201" s="843"/>
      <c r="EK201" s="843"/>
      <c r="EL201" s="843"/>
      <c r="EM201" s="843"/>
      <c r="EN201" s="843"/>
      <c r="EO201" s="843"/>
      <c r="EP201" s="843"/>
      <c r="EQ201" s="843"/>
      <c r="ER201" s="843"/>
      <c r="ES201" s="843"/>
      <c r="ET201" s="843"/>
      <c r="EU201" s="843"/>
      <c r="EV201" s="843"/>
      <c r="EW201" s="843"/>
      <c r="EX201" s="843"/>
      <c r="EY201" s="843"/>
      <c r="EZ201" s="843"/>
      <c r="FA201" s="843"/>
      <c r="FB201" s="843"/>
      <c r="FC201" s="843"/>
      <c r="FD201" s="843"/>
      <c r="FE201" s="843"/>
      <c r="FF201" s="843"/>
      <c r="FG201" s="843"/>
      <c r="FH201" s="843"/>
      <c r="FI201" s="843"/>
      <c r="FJ201" s="843"/>
      <c r="FK201" s="843"/>
      <c r="FL201" s="843"/>
      <c r="FM201" s="843"/>
      <c r="FN201" s="843"/>
      <c r="FO201" s="843"/>
      <c r="FP201" s="843"/>
      <c r="FQ201" s="843"/>
      <c r="FR201" s="843"/>
      <c r="FS201" s="843"/>
      <c r="FT201" s="843"/>
      <c r="FU201" s="843"/>
      <c r="FV201" s="843"/>
      <c r="FW201" s="843"/>
      <c r="FX201" s="843"/>
      <c r="FY201" s="843"/>
      <c r="FZ201" s="843"/>
      <c r="GA201" s="843"/>
      <c r="GB201" s="843"/>
      <c r="GC201" s="843"/>
      <c r="GD201" s="843"/>
      <c r="GE201" s="843"/>
      <c r="GF201" s="843"/>
      <c r="GG201" s="843"/>
      <c r="GH201" s="843"/>
      <c r="GI201" s="843"/>
      <c r="GJ201" s="843"/>
      <c r="GK201" s="843"/>
      <c r="GL201" s="843"/>
      <c r="GM201" s="843"/>
      <c r="GN201" s="843"/>
      <c r="GO201" s="843"/>
      <c r="GP201" s="843"/>
      <c r="GQ201" s="843"/>
      <c r="GR201" s="843"/>
      <c r="GS201" s="843"/>
      <c r="GT201" s="843"/>
      <c r="GU201" s="843"/>
      <c r="GV201" s="843"/>
      <c r="GW201" s="843"/>
      <c r="GX201" s="843"/>
      <c r="GY201" s="843"/>
      <c r="GZ201" s="843"/>
      <c r="HA201" s="843"/>
      <c r="HB201" s="843"/>
      <c r="HC201" s="843"/>
      <c r="HD201" s="843"/>
      <c r="HE201" s="843"/>
      <c r="HF201" s="843"/>
      <c r="HG201" s="843"/>
      <c r="HH201" s="843"/>
      <c r="HI201" s="843"/>
      <c r="HJ201" s="843"/>
      <c r="HK201" s="843"/>
      <c r="HL201" s="843"/>
      <c r="HM201" s="843"/>
      <c r="HN201" s="843"/>
      <c r="HO201" s="843"/>
      <c r="HP201" s="843"/>
      <c r="HQ201" s="843"/>
      <c r="HR201" s="843"/>
      <c r="HS201" s="843"/>
      <c r="HT201" s="843"/>
      <c r="HU201" s="843"/>
      <c r="HV201" s="843"/>
      <c r="HW201" s="843"/>
      <c r="HX201" s="843"/>
      <c r="HY201" s="843"/>
      <c r="HZ201" s="843"/>
      <c r="IA201" s="843"/>
      <c r="IB201" s="843"/>
      <c r="IC201" s="843"/>
      <c r="ID201" s="843"/>
      <c r="IE201" s="843"/>
      <c r="IF201" s="843"/>
      <c r="IG201" s="843"/>
      <c r="IH201" s="843"/>
      <c r="II201" s="843"/>
      <c r="IJ201" s="843"/>
      <c r="IK201" s="843"/>
      <c r="IL201" s="843"/>
      <c r="IM201" s="843"/>
      <c r="IN201" s="843"/>
      <c r="IO201" s="843"/>
      <c r="IP201" s="843"/>
      <c r="IQ201" s="843"/>
      <c r="IR201" s="843"/>
      <c r="IS201" s="843"/>
      <c r="IT201" s="843"/>
      <c r="IU201" s="843"/>
      <c r="IV201" s="843"/>
      <c r="IW201" s="843"/>
      <c r="IX201" s="843"/>
      <c r="IY201" s="843"/>
      <c r="IZ201" s="843"/>
      <c r="JA201" s="843"/>
      <c r="JB201" s="843"/>
      <c r="JC201" s="843"/>
      <c r="JD201" s="843"/>
      <c r="JE201" s="843"/>
      <c r="JF201" s="843"/>
      <c r="JG201" s="843"/>
      <c r="JH201" s="843"/>
      <c r="JI201" s="843"/>
      <c r="JJ201" s="843"/>
      <c r="JK201" s="843"/>
      <c r="JL201" s="843"/>
      <c r="JM201" s="843"/>
      <c r="JN201" s="843"/>
      <c r="JO201" s="843"/>
      <c r="JP201" s="843"/>
      <c r="JQ201" s="843"/>
      <c r="JR201" s="843"/>
      <c r="JS201" s="843"/>
      <c r="JT201" s="843"/>
      <c r="JU201" s="843"/>
      <c r="JV201" s="843"/>
      <c r="JW201" s="843"/>
      <c r="JX201" s="843"/>
      <c r="JY201" s="843"/>
      <c r="JZ201" s="843"/>
      <c r="KA201" s="843"/>
      <c r="KB201" s="843"/>
      <c r="KC201" s="843"/>
      <c r="KD201" s="843"/>
      <c r="KE201" s="843"/>
      <c r="KF201" s="843"/>
      <c r="KG201" s="843"/>
      <c r="KH201" s="843"/>
      <c r="KI201" s="843"/>
      <c r="KJ201" s="843"/>
      <c r="KK201" s="843"/>
      <c r="KL201" s="843"/>
      <c r="KM201" s="843"/>
      <c r="KN201" s="843"/>
      <c r="KO201" s="843"/>
      <c r="KP201" s="843"/>
      <c r="KQ201" s="843"/>
      <c r="KR201" s="843"/>
      <c r="KS201" s="843"/>
      <c r="KT201" s="843"/>
      <c r="KU201" s="843"/>
      <c r="KV201" s="843"/>
      <c r="KW201" s="843"/>
      <c r="KX201" s="843"/>
      <c r="KY201" s="843"/>
      <c r="KZ201" s="843"/>
      <c r="LA201" s="843"/>
      <c r="LB201" s="843"/>
      <c r="LC201" s="843"/>
      <c r="LD201" s="843"/>
      <c r="LE201" s="843"/>
      <c r="LF201" s="843"/>
      <c r="LG201" s="843"/>
      <c r="LH201" s="843"/>
      <c r="LI201" s="843"/>
      <c r="LJ201" s="843"/>
      <c r="LK201" s="843"/>
      <c r="LL201" s="843"/>
      <c r="LM201" s="843"/>
      <c r="LN201" s="843"/>
      <c r="LO201" s="843"/>
      <c r="LP201" s="843"/>
      <c r="LQ201" s="843"/>
      <c r="LR201" s="843"/>
      <c r="LS201" s="843"/>
      <c r="LT201" s="843"/>
      <c r="LU201" s="843"/>
      <c r="LV201" s="843"/>
      <c r="LW201" s="843"/>
      <c r="LX201" s="843"/>
      <c r="LY201" s="843"/>
      <c r="LZ201" s="843"/>
      <c r="MA201" s="843"/>
      <c r="MB201" s="843"/>
      <c r="MC201" s="843"/>
      <c r="MD201" s="843"/>
      <c r="ME201" s="843"/>
      <c r="MF201" s="843"/>
      <c r="MG201" s="843"/>
      <c r="MH201" s="843"/>
      <c r="MI201" s="843"/>
      <c r="MJ201" s="843"/>
      <c r="MK201" s="843"/>
      <c r="ML201" s="843"/>
      <c r="MM201" s="843"/>
      <c r="MN201" s="843"/>
      <c r="MO201" s="843"/>
      <c r="MP201" s="843"/>
      <c r="MQ201" s="843"/>
      <c r="MR201" s="843"/>
      <c r="MS201" s="843"/>
      <c r="MT201" s="843"/>
      <c r="MU201" s="843"/>
      <c r="MV201" s="843"/>
      <c r="MW201" s="843"/>
      <c r="MX201" s="843"/>
      <c r="MY201" s="843"/>
      <c r="MZ201" s="843"/>
      <c r="NA201" s="843"/>
      <c r="NB201" s="843"/>
      <c r="NC201" s="843"/>
      <c r="ND201" s="843"/>
      <c r="NE201" s="843"/>
      <c r="NF201" s="843"/>
      <c r="NG201" s="843"/>
      <c r="NH201" s="843"/>
      <c r="NI201" s="843"/>
      <c r="NJ201" s="843"/>
      <c r="NK201" s="843"/>
      <c r="NL201" s="843"/>
      <c r="NM201" s="843"/>
      <c r="NN201" s="843"/>
      <c r="NO201" s="843"/>
      <c r="NP201" s="843"/>
      <c r="NQ201" s="843"/>
      <c r="NR201" s="843"/>
      <c r="NS201" s="843"/>
      <c r="NT201" s="843"/>
      <c r="NU201" s="843"/>
      <c r="NV201" s="843"/>
      <c r="NW201" s="843"/>
      <c r="NX201" s="843"/>
      <c r="NY201" s="843"/>
      <c r="NZ201" s="843"/>
      <c r="OA201" s="843"/>
      <c r="OB201" s="843"/>
      <c r="OC201" s="843"/>
      <c r="OD201" s="843"/>
      <c r="OE201" s="843"/>
      <c r="OF201" s="843"/>
      <c r="OG201" s="843"/>
      <c r="OH201" s="843"/>
      <c r="OI201" s="843"/>
      <c r="OJ201" s="843"/>
      <c r="OK201" s="843"/>
      <c r="OL201" s="843"/>
      <c r="OM201" s="843"/>
      <c r="ON201" s="843"/>
      <c r="OO201" s="843"/>
      <c r="OP201" s="843"/>
      <c r="OQ201" s="843"/>
      <c r="OR201" s="843"/>
      <c r="OS201" s="843"/>
      <c r="OT201" s="843"/>
      <c r="OU201" s="843"/>
      <c r="OV201" s="843"/>
      <c r="OW201" s="843"/>
      <c r="OX201" s="843"/>
      <c r="OY201" s="843"/>
      <c r="OZ201" s="843"/>
      <c r="PA201" s="843"/>
      <c r="PB201" s="843"/>
      <c r="PC201" s="843"/>
      <c r="PD201" s="843"/>
      <c r="PE201" s="843"/>
      <c r="PF201" s="843"/>
      <c r="PG201" s="843"/>
      <c r="PH201" s="843"/>
      <c r="PI201" s="843"/>
      <c r="PJ201" s="843"/>
      <c r="PK201" s="843"/>
      <c r="PL201" s="843"/>
      <c r="PM201" s="843"/>
      <c r="PN201" s="843"/>
      <c r="PO201" s="843"/>
      <c r="PP201" s="843"/>
      <c r="PQ201" s="843"/>
      <c r="PR201" s="843"/>
      <c r="PS201" s="843"/>
      <c r="PT201" s="843"/>
      <c r="PU201" s="843"/>
      <c r="PV201" s="843"/>
      <c r="PW201" s="843"/>
      <c r="PX201" s="843"/>
      <c r="PY201" s="843"/>
      <c r="PZ201" s="843"/>
      <c r="QA201" s="843"/>
      <c r="QB201" s="843"/>
      <c r="QC201" s="843"/>
      <c r="QD201" s="843"/>
      <c r="QE201" s="843"/>
      <c r="QF201" s="843"/>
      <c r="QG201" s="843"/>
      <c r="QH201" s="843"/>
      <c r="QI201" s="843"/>
      <c r="QJ201" s="843"/>
      <c r="QK201" s="843"/>
      <c r="QL201" s="843"/>
      <c r="QM201" s="843"/>
      <c r="QN201" s="843"/>
      <c r="QO201" s="843"/>
      <c r="QP201" s="843"/>
      <c r="QQ201" s="843"/>
      <c r="QR201" s="843"/>
      <c r="QS201" s="843"/>
      <c r="QT201" s="843"/>
      <c r="QU201" s="843"/>
      <c r="QV201" s="843"/>
      <c r="QW201" s="843"/>
      <c r="QX201" s="843"/>
      <c r="QY201" s="843"/>
      <c r="QZ201" s="843"/>
      <c r="RA201" s="843"/>
      <c r="RB201" s="843"/>
      <c r="RC201" s="843"/>
      <c r="RD201" s="843"/>
      <c r="RE201" s="843"/>
      <c r="RF201" s="843"/>
      <c r="RG201" s="843"/>
      <c r="RH201" s="843"/>
      <c r="RI201" s="843"/>
      <c r="RJ201" s="843"/>
      <c r="RK201" s="843"/>
      <c r="RL201" s="843"/>
      <c r="RM201" s="843"/>
      <c r="RN201" s="843"/>
      <c r="RO201" s="843"/>
      <c r="RP201" s="843"/>
      <c r="RQ201" s="843"/>
      <c r="RR201" s="843"/>
      <c r="RS201" s="843"/>
      <c r="RT201" s="843"/>
      <c r="RU201" s="843"/>
      <c r="RV201" s="843"/>
      <c r="RW201" s="843"/>
      <c r="RX201" s="843"/>
      <c r="RY201" s="843"/>
      <c r="RZ201" s="843"/>
      <c r="SA201" s="843"/>
      <c r="SB201" s="843"/>
      <c r="SC201" s="843"/>
      <c r="SD201" s="843"/>
      <c r="SE201" s="843"/>
      <c r="SF201" s="843"/>
      <c r="SG201" s="843"/>
      <c r="SH201" s="843"/>
      <c r="SI201" s="843"/>
      <c r="SJ201" s="843"/>
      <c r="SK201" s="843"/>
      <c r="SL201" s="843"/>
      <c r="SM201" s="843"/>
      <c r="SN201" s="843"/>
      <c r="SO201" s="843"/>
      <c r="SP201" s="843"/>
      <c r="SQ201" s="843"/>
      <c r="SR201" s="843"/>
      <c r="SS201" s="843"/>
      <c r="ST201" s="843"/>
      <c r="SU201" s="843"/>
      <c r="SV201" s="843"/>
      <c r="SW201" s="843"/>
      <c r="SX201" s="843"/>
      <c r="SY201" s="843"/>
      <c r="SZ201" s="843"/>
      <c r="TA201" s="843"/>
      <c r="TB201" s="843"/>
      <c r="TC201" s="843"/>
      <c r="TD201" s="843"/>
      <c r="TE201" s="843"/>
      <c r="TF201" s="843"/>
      <c r="TG201" s="843"/>
      <c r="TH201" s="843"/>
      <c r="TI201" s="843"/>
      <c r="TJ201" s="843"/>
      <c r="TK201" s="843"/>
      <c r="TL201" s="843"/>
      <c r="TM201" s="843"/>
      <c r="TN201" s="843"/>
      <c r="TO201" s="843"/>
      <c r="TP201" s="843"/>
      <c r="TQ201" s="843"/>
      <c r="TR201" s="843"/>
      <c r="TS201" s="843"/>
      <c r="TT201" s="843"/>
      <c r="TU201" s="843"/>
      <c r="TV201" s="843"/>
      <c r="TW201" s="843"/>
      <c r="TX201" s="843"/>
      <c r="TY201" s="843"/>
      <c r="TZ201" s="843"/>
      <c r="UA201" s="843"/>
      <c r="UB201" s="843"/>
      <c r="UC201" s="843"/>
      <c r="UD201" s="843"/>
      <c r="UE201" s="843"/>
      <c r="UF201" s="843"/>
      <c r="UG201" s="843"/>
      <c r="UH201" s="843"/>
      <c r="UI201" s="843"/>
      <c r="UJ201" s="843"/>
      <c r="UK201" s="843"/>
      <c r="UL201" s="843"/>
      <c r="UM201" s="843"/>
      <c r="UN201" s="843"/>
      <c r="UO201" s="843"/>
      <c r="UP201" s="843"/>
      <c r="UQ201" s="843"/>
      <c r="UR201" s="843"/>
      <c r="US201" s="843"/>
      <c r="UT201" s="843"/>
      <c r="UU201" s="843"/>
      <c r="UV201" s="843"/>
      <c r="UW201" s="843"/>
      <c r="UX201" s="843"/>
      <c r="UY201" s="843"/>
      <c r="UZ201" s="843"/>
      <c r="VA201" s="843"/>
      <c r="VB201" s="843"/>
      <c r="VC201" s="843"/>
      <c r="VD201" s="843"/>
      <c r="VE201" s="843"/>
      <c r="VF201" s="843"/>
      <c r="VG201" s="843"/>
      <c r="VH201" s="843"/>
      <c r="VI201" s="843"/>
      <c r="VJ201" s="843"/>
      <c r="VK201" s="843"/>
      <c r="VL201" s="843"/>
      <c r="VM201" s="843"/>
      <c r="VN201" s="843"/>
      <c r="VO201" s="843"/>
      <c r="VP201" s="843"/>
      <c r="VQ201" s="843"/>
      <c r="VR201" s="843"/>
      <c r="VS201" s="843"/>
      <c r="VT201" s="843"/>
      <c r="VU201" s="843"/>
      <c r="VV201" s="843"/>
      <c r="VW201" s="843"/>
      <c r="VX201" s="843"/>
      <c r="VY201" s="843"/>
      <c r="VZ201" s="843"/>
      <c r="WA201" s="843"/>
      <c r="WB201" s="843"/>
      <c r="WC201" s="843"/>
      <c r="WD201" s="843"/>
      <c r="WE201" s="843"/>
      <c r="WF201" s="843"/>
      <c r="WG201" s="843"/>
      <c r="WH201" s="843"/>
      <c r="WI201" s="843"/>
      <c r="WJ201" s="843"/>
      <c r="WK201" s="843"/>
      <c r="WL201" s="843"/>
      <c r="WM201" s="843"/>
      <c r="WN201" s="843"/>
      <c r="WO201" s="843"/>
      <c r="WP201" s="843"/>
      <c r="WQ201" s="843"/>
      <c r="WR201" s="843"/>
      <c r="WS201" s="843"/>
      <c r="WT201" s="843"/>
      <c r="WU201" s="843"/>
      <c r="WV201" s="843"/>
      <c r="WW201" s="843"/>
      <c r="WX201" s="843"/>
      <c r="WY201" s="843"/>
      <c r="WZ201" s="843"/>
      <c r="XA201" s="843"/>
      <c r="XB201" s="843"/>
      <c r="XC201" s="843"/>
      <c r="XD201" s="843"/>
      <c r="XE201" s="843"/>
      <c r="XF201" s="843"/>
      <c r="XG201" s="843"/>
      <c r="XH201" s="843"/>
      <c r="XI201" s="843"/>
      <c r="XJ201" s="843"/>
      <c r="XK201" s="843"/>
      <c r="XL201" s="843"/>
      <c r="XM201" s="843"/>
      <c r="XN201" s="843"/>
      <c r="XO201" s="843"/>
      <c r="XP201" s="843"/>
      <c r="XQ201" s="843"/>
      <c r="XR201" s="843"/>
      <c r="XS201" s="843"/>
      <c r="XT201" s="843"/>
      <c r="XU201" s="843"/>
      <c r="XV201" s="843"/>
      <c r="XW201" s="843"/>
      <c r="XX201" s="843"/>
      <c r="XY201" s="843"/>
      <c r="XZ201" s="843"/>
      <c r="YA201" s="843"/>
      <c r="YB201" s="843"/>
      <c r="YC201" s="843"/>
      <c r="YD201" s="843"/>
      <c r="YE201" s="843"/>
      <c r="YF201" s="843"/>
      <c r="YG201" s="843"/>
      <c r="YH201" s="843"/>
      <c r="YI201" s="843"/>
      <c r="YJ201" s="843"/>
      <c r="YK201" s="843"/>
      <c r="YL201" s="843"/>
      <c r="YM201" s="843"/>
      <c r="YN201" s="843"/>
      <c r="YO201" s="843"/>
      <c r="YP201" s="843"/>
      <c r="YQ201" s="843"/>
      <c r="YR201" s="843"/>
      <c r="YS201" s="843"/>
      <c r="YT201" s="843"/>
      <c r="YU201" s="843"/>
      <c r="YV201" s="843"/>
      <c r="YW201" s="843"/>
      <c r="YX201" s="843"/>
      <c r="YY201" s="843"/>
      <c r="YZ201" s="843"/>
      <c r="ZA201" s="843"/>
      <c r="ZB201" s="843"/>
      <c r="ZC201" s="843"/>
      <c r="ZD201" s="843"/>
      <c r="ZE201" s="843"/>
      <c r="ZF201" s="843"/>
      <c r="ZG201" s="843"/>
      <c r="ZH201" s="843"/>
      <c r="ZI201" s="843"/>
      <c r="ZJ201" s="843"/>
      <c r="ZK201" s="843"/>
      <c r="ZL201" s="843"/>
      <c r="ZM201" s="843"/>
      <c r="ZN201" s="843"/>
      <c r="ZO201" s="843"/>
      <c r="ZP201" s="843"/>
      <c r="ZQ201" s="843"/>
      <c r="ZR201" s="843"/>
      <c r="ZS201" s="843"/>
      <c r="ZT201" s="843"/>
      <c r="ZU201" s="843"/>
      <c r="ZV201" s="843"/>
      <c r="ZW201" s="843"/>
      <c r="ZX201" s="843"/>
      <c r="ZY201" s="843"/>
      <c r="ZZ201" s="843"/>
      <c r="AAA201" s="843"/>
      <c r="AAB201" s="843"/>
      <c r="AAC201" s="843"/>
      <c r="AAD201" s="843"/>
      <c r="AAE201" s="843"/>
      <c r="AAF201" s="843"/>
      <c r="AAG201" s="843"/>
      <c r="AAH201" s="843"/>
      <c r="AAI201" s="843"/>
      <c r="AAJ201" s="843"/>
      <c r="AAK201" s="843"/>
      <c r="AAL201" s="843"/>
      <c r="AAM201" s="843"/>
      <c r="AAN201" s="843"/>
      <c r="AAO201" s="843"/>
      <c r="AAP201" s="843"/>
      <c r="AAQ201" s="843"/>
      <c r="AAR201" s="843"/>
      <c r="AAS201" s="843"/>
      <c r="AAT201" s="843"/>
      <c r="AAU201" s="843"/>
      <c r="AAV201" s="843"/>
      <c r="AAW201" s="843"/>
      <c r="AAX201" s="843"/>
      <c r="AAY201" s="843"/>
      <c r="AAZ201" s="843"/>
      <c r="ABA201" s="843"/>
      <c r="ABB201" s="843"/>
      <c r="ABC201" s="843"/>
      <c r="ABD201" s="843"/>
      <c r="ABE201" s="843"/>
      <c r="ABF201" s="843"/>
      <c r="ABG201" s="843"/>
      <c r="ABH201" s="843"/>
      <c r="ABI201" s="843"/>
      <c r="ABJ201" s="843"/>
      <c r="ABK201" s="843"/>
      <c r="ABL201" s="843"/>
      <c r="ABM201" s="843"/>
      <c r="ABN201" s="843"/>
      <c r="ABO201" s="843"/>
      <c r="ABP201" s="843"/>
      <c r="ABQ201" s="843"/>
      <c r="ABR201" s="843"/>
      <c r="ABS201" s="843"/>
      <c r="ABT201" s="843"/>
      <c r="ABU201" s="843"/>
      <c r="ABV201" s="843"/>
      <c r="ABW201" s="843"/>
      <c r="ABX201" s="843"/>
      <c r="ABY201" s="843"/>
      <c r="ABZ201" s="843"/>
      <c r="ACA201" s="843"/>
      <c r="ACB201" s="843"/>
      <c r="ACC201" s="843"/>
      <c r="ACD201" s="843"/>
      <c r="ACE201" s="843"/>
      <c r="ACF201" s="843"/>
      <c r="ACG201" s="843"/>
      <c r="ACH201" s="843"/>
      <c r="ACI201" s="843"/>
      <c r="ACJ201" s="843"/>
      <c r="ACK201" s="843"/>
      <c r="ACL201" s="843"/>
      <c r="ACM201" s="843"/>
      <c r="ACN201" s="843"/>
      <c r="ACO201" s="843"/>
      <c r="ACP201" s="843"/>
      <c r="ACQ201" s="843"/>
      <c r="ACR201" s="843"/>
      <c r="ACS201" s="843"/>
      <c r="ACT201" s="843"/>
      <c r="ACU201" s="843"/>
      <c r="ACV201" s="843"/>
      <c r="ACW201" s="843"/>
      <c r="ACX201" s="843"/>
      <c r="ACY201" s="843"/>
      <c r="ACZ201" s="843"/>
      <c r="ADA201" s="843"/>
      <c r="ADB201" s="843"/>
      <c r="ADC201" s="843"/>
      <c r="ADD201" s="843"/>
      <c r="ADE201" s="843"/>
      <c r="ADF201" s="843"/>
      <c r="ADG201" s="843"/>
      <c r="ADH201" s="843"/>
      <c r="ADI201" s="843"/>
      <c r="ADJ201" s="843"/>
      <c r="ADK201" s="843"/>
      <c r="ADL201" s="843"/>
      <c r="ADM201" s="843"/>
      <c r="ADN201" s="843"/>
      <c r="ADO201" s="843"/>
      <c r="ADP201" s="843"/>
      <c r="ADQ201" s="843"/>
      <c r="ADR201" s="843"/>
      <c r="ADS201" s="843"/>
      <c r="ADT201" s="843"/>
      <c r="ADU201" s="843"/>
      <c r="ADV201" s="843"/>
      <c r="ADW201" s="843"/>
      <c r="ADX201" s="843"/>
      <c r="ADY201" s="843"/>
      <c r="ADZ201" s="843"/>
      <c r="AEA201" s="843"/>
      <c r="AEB201" s="843"/>
      <c r="AEC201" s="843"/>
      <c r="AED201" s="843"/>
      <c r="AEE201" s="843"/>
      <c r="AEF201" s="843"/>
      <c r="AEG201" s="843"/>
      <c r="AEH201" s="843"/>
      <c r="AEI201" s="843"/>
      <c r="AEJ201" s="843"/>
      <c r="AEK201" s="843"/>
      <c r="AEL201" s="843"/>
      <c r="AEM201" s="843"/>
      <c r="AEN201" s="843"/>
      <c r="AEO201" s="843"/>
      <c r="AEP201" s="843"/>
      <c r="AEQ201" s="843"/>
      <c r="AER201" s="843"/>
      <c r="AES201" s="843"/>
      <c r="AET201" s="843"/>
      <c r="AEU201" s="843"/>
      <c r="AEV201" s="843"/>
      <c r="AEW201" s="843"/>
      <c r="AEX201" s="843"/>
      <c r="AEY201" s="843"/>
      <c r="AEZ201" s="843"/>
      <c r="AFA201" s="843"/>
      <c r="AFB201" s="843"/>
      <c r="AFC201" s="843"/>
      <c r="AFD201" s="843"/>
      <c r="AFE201" s="843"/>
      <c r="AFF201" s="843"/>
      <c r="AFG201" s="843"/>
      <c r="AFH201" s="843"/>
      <c r="AFI201" s="843"/>
      <c r="AFJ201" s="843"/>
      <c r="AFK201" s="843"/>
      <c r="AFL201" s="843"/>
      <c r="AFM201" s="843"/>
      <c r="AFN201" s="843"/>
      <c r="AFO201" s="843"/>
      <c r="AFP201" s="843"/>
      <c r="AFQ201" s="843"/>
      <c r="AFR201" s="843"/>
      <c r="AFS201" s="843"/>
      <c r="AFT201" s="843"/>
      <c r="AFU201" s="843"/>
      <c r="AFV201" s="843"/>
      <c r="AFW201" s="843"/>
      <c r="AFX201" s="843"/>
      <c r="AFY201" s="843"/>
      <c r="AFZ201" s="843"/>
      <c r="AGA201" s="843"/>
      <c r="AGB201" s="843"/>
      <c r="AGC201" s="843"/>
      <c r="AGD201" s="843"/>
      <c r="AGE201" s="843"/>
      <c r="AGF201" s="843"/>
      <c r="AGG201" s="843"/>
      <c r="AGH201" s="843"/>
      <c r="AGI201" s="843"/>
      <c r="AGJ201" s="843"/>
      <c r="AGK201" s="843"/>
      <c r="AGL201" s="843"/>
      <c r="AGM201" s="843"/>
      <c r="AGN201" s="843"/>
      <c r="AGO201" s="843"/>
      <c r="AGP201" s="843"/>
      <c r="AGQ201" s="843"/>
      <c r="AGR201" s="843"/>
      <c r="AGS201" s="843"/>
      <c r="AGT201" s="843"/>
      <c r="AGU201" s="843"/>
      <c r="AGV201" s="843"/>
      <c r="AGW201" s="843"/>
      <c r="AGX201" s="843"/>
      <c r="AGY201" s="843"/>
      <c r="AGZ201" s="843"/>
      <c r="AHA201" s="843"/>
      <c r="AHB201" s="843"/>
      <c r="AHC201" s="843"/>
      <c r="AHD201" s="843"/>
      <c r="AHE201" s="843"/>
      <c r="AHF201" s="843"/>
      <c r="AHG201" s="843"/>
      <c r="AHH201" s="843"/>
      <c r="AHI201" s="843"/>
      <c r="AHJ201" s="843"/>
      <c r="AHK201" s="843"/>
      <c r="AHL201" s="843"/>
      <c r="AHM201" s="843"/>
      <c r="AHN201" s="843"/>
      <c r="AHO201" s="843"/>
      <c r="AHP201" s="843"/>
      <c r="AHQ201" s="843"/>
      <c r="AHR201" s="843"/>
      <c r="AHS201" s="843"/>
      <c r="AHT201" s="843"/>
      <c r="AHU201" s="843"/>
      <c r="AHV201" s="843"/>
      <c r="AHW201" s="843"/>
      <c r="AHX201" s="843"/>
      <c r="AHY201" s="843"/>
      <c r="AHZ201" s="843"/>
      <c r="AIA201" s="843"/>
      <c r="AIB201" s="843"/>
      <c r="AIC201" s="843"/>
      <c r="AID201" s="843"/>
      <c r="AIE201" s="843"/>
      <c r="AIF201" s="843"/>
      <c r="AIG201" s="843"/>
      <c r="AIH201" s="843"/>
      <c r="AII201" s="843"/>
      <c r="AIJ201" s="843"/>
      <c r="AIK201" s="843"/>
      <c r="AIL201" s="843"/>
      <c r="AIM201" s="843"/>
      <c r="AIN201" s="843"/>
      <c r="AIO201" s="843"/>
      <c r="AIP201" s="843"/>
      <c r="AIQ201" s="843"/>
      <c r="AIR201" s="843"/>
      <c r="AIS201" s="843"/>
      <c r="AIT201" s="843"/>
      <c r="AIU201" s="843"/>
      <c r="AIV201" s="843"/>
      <c r="AIW201" s="843"/>
      <c r="AIX201" s="843"/>
      <c r="AIY201" s="843"/>
      <c r="AIZ201" s="843"/>
      <c r="AJA201" s="843"/>
      <c r="AJB201" s="843"/>
      <c r="AJC201" s="843"/>
      <c r="AJD201" s="843"/>
      <c r="AJE201" s="843"/>
      <c r="AJF201" s="843"/>
      <c r="AJG201" s="843"/>
      <c r="AJH201" s="843"/>
      <c r="AJI201" s="843"/>
      <c r="AJJ201" s="843"/>
      <c r="AJK201" s="843"/>
      <c r="AJL201" s="843"/>
      <c r="AJM201" s="843"/>
      <c r="AJN201" s="843"/>
      <c r="AJO201" s="843"/>
      <c r="AJP201" s="843"/>
      <c r="AJQ201" s="843"/>
      <c r="AJR201" s="843"/>
      <c r="AJS201" s="843"/>
      <c r="AJT201" s="843"/>
      <c r="AJU201" s="843"/>
      <c r="AJV201" s="843"/>
      <c r="AJW201" s="843"/>
      <c r="AJX201" s="843"/>
      <c r="AJY201" s="843"/>
      <c r="AJZ201" s="843"/>
      <c r="AKA201" s="843"/>
      <c r="AKB201" s="843"/>
      <c r="AKC201" s="843"/>
      <c r="AKD201" s="843"/>
      <c r="AKE201" s="843"/>
      <c r="AKF201" s="843"/>
      <c r="AKG201" s="843"/>
      <c r="AKH201" s="843"/>
      <c r="AKI201" s="843"/>
      <c r="AKJ201" s="843"/>
      <c r="AKK201" s="843"/>
      <c r="AKL201" s="843"/>
      <c r="AKM201" s="843"/>
      <c r="AKN201" s="843"/>
      <c r="AKO201" s="843"/>
      <c r="AKP201" s="843"/>
      <c r="AKQ201" s="843"/>
      <c r="AKR201" s="843"/>
      <c r="AKS201" s="843"/>
      <c r="AKT201" s="843"/>
      <c r="AKU201" s="843"/>
      <c r="AKV201" s="843"/>
      <c r="AKW201" s="843"/>
      <c r="AKX201" s="843"/>
      <c r="AKY201" s="843"/>
      <c r="AKZ201" s="843"/>
      <c r="ALA201" s="843"/>
      <c r="ALB201" s="843"/>
      <c r="ALC201" s="843"/>
      <c r="ALD201" s="843"/>
      <c r="ALE201" s="843"/>
      <c r="ALF201" s="843"/>
      <c r="ALG201" s="843"/>
      <c r="ALH201" s="843"/>
      <c r="ALI201" s="843"/>
      <c r="ALJ201" s="843"/>
      <c r="ALK201" s="843"/>
      <c r="ALL201" s="843"/>
      <c r="ALM201" s="843"/>
      <c r="ALN201" s="843"/>
      <c r="ALO201" s="843"/>
      <c r="ALP201" s="843"/>
      <c r="ALQ201" s="843"/>
      <c r="ALR201" s="843"/>
      <c r="ALS201" s="843"/>
      <c r="ALT201" s="843"/>
      <c r="ALU201" s="843"/>
      <c r="ALV201" s="843"/>
      <c r="ALW201" s="843"/>
      <c r="ALX201" s="843"/>
      <c r="ALY201" s="843"/>
      <c r="ALZ201" s="843"/>
      <c r="AMA201" s="843"/>
      <c r="AMB201" s="843"/>
      <c r="AMC201" s="843"/>
      <c r="AMD201" s="843"/>
      <c r="AME201" s="843"/>
      <c r="AMF201" s="843"/>
      <c r="AMG201" s="843"/>
      <c r="AMH201" s="843"/>
      <c r="AMI201" s="843"/>
      <c r="AMJ201" s="843"/>
      <c r="AMK201" s="843"/>
      <c r="AML201" s="843"/>
    </row>
    <row r="202" spans="1:1026" ht="36" customHeight="1">
      <c r="A202" s="844"/>
      <c r="B202" s="977" t="s">
        <v>500</v>
      </c>
      <c r="C202" s="414" t="s">
        <v>501</v>
      </c>
      <c r="D202" s="438" t="s">
        <v>502</v>
      </c>
      <c r="E202" s="414" t="s">
        <v>60</v>
      </c>
      <c r="F202" s="964">
        <f>Plan1!D153</f>
        <v>19</v>
      </c>
      <c r="G202" s="893">
        <f t="shared" si="43"/>
        <v>26.4</v>
      </c>
      <c r="H202" s="883">
        <f t="shared" si="44"/>
        <v>501.59999999999997</v>
      </c>
      <c r="I202" s="844"/>
      <c r="J202" s="981">
        <v>20.85</v>
      </c>
      <c r="K202" s="842">
        <f t="shared" si="45"/>
        <v>26.4</v>
      </c>
    </row>
    <row r="203" spans="1:1026" ht="36" customHeight="1">
      <c r="A203" s="844"/>
      <c r="B203" s="977" t="s">
        <v>503</v>
      </c>
      <c r="C203" s="414" t="s">
        <v>504</v>
      </c>
      <c r="D203" s="438" t="s">
        <v>505</v>
      </c>
      <c r="E203" s="414" t="s">
        <v>60</v>
      </c>
      <c r="F203" s="964">
        <f>Plan1!D154</f>
        <v>9</v>
      </c>
      <c r="G203" s="893">
        <f t="shared" si="43"/>
        <v>10.98</v>
      </c>
      <c r="H203" s="883">
        <f t="shared" si="44"/>
        <v>98.820000000000007</v>
      </c>
      <c r="I203" s="844"/>
      <c r="J203" s="981">
        <v>8.67</v>
      </c>
      <c r="K203" s="842">
        <f t="shared" si="45"/>
        <v>10.98</v>
      </c>
    </row>
    <row r="204" spans="1:1026" ht="36" customHeight="1">
      <c r="A204" s="844"/>
      <c r="B204" s="977" t="s">
        <v>506</v>
      </c>
      <c r="C204" s="414" t="s">
        <v>507</v>
      </c>
      <c r="D204" s="438" t="s">
        <v>508</v>
      </c>
      <c r="E204" s="414" t="s">
        <v>60</v>
      </c>
      <c r="F204" s="964">
        <f>Plan1!D155</f>
        <v>6</v>
      </c>
      <c r="G204" s="893">
        <f t="shared" ref="G204:G205" si="46">K204</f>
        <v>11.39</v>
      </c>
      <c r="H204" s="883">
        <f t="shared" si="44"/>
        <v>68.34</v>
      </c>
      <c r="I204" s="844"/>
      <c r="J204" s="981">
        <v>9</v>
      </c>
      <c r="K204" s="842">
        <f t="shared" ref="K204:K205" si="47">ROUND(J204*(1+$H$14),2)</f>
        <v>11.39</v>
      </c>
    </row>
    <row r="205" spans="1:1026" ht="36" customHeight="1">
      <c r="A205" s="844"/>
      <c r="B205" s="977" t="s">
        <v>509</v>
      </c>
      <c r="C205" s="420" t="s">
        <v>510</v>
      </c>
      <c r="D205" s="440" t="s">
        <v>511</v>
      </c>
      <c r="E205" s="420" t="s">
        <v>60</v>
      </c>
      <c r="F205" s="970">
        <f>Plan1!D156</f>
        <v>12</v>
      </c>
      <c r="G205" s="893">
        <f t="shared" si="46"/>
        <v>19.04</v>
      </c>
      <c r="H205" s="883">
        <f t="shared" si="44"/>
        <v>228.48</v>
      </c>
      <c r="I205" s="844"/>
      <c r="J205" s="982">
        <v>15.04</v>
      </c>
      <c r="K205" s="842">
        <f t="shared" si="47"/>
        <v>19.04</v>
      </c>
    </row>
    <row r="206" spans="1:1026" ht="36" customHeight="1">
      <c r="A206" s="844"/>
      <c r="B206" s="977" t="s">
        <v>512</v>
      </c>
      <c r="C206" s="420" t="s">
        <v>513</v>
      </c>
      <c r="D206" s="431" t="s">
        <v>514</v>
      </c>
      <c r="E206" s="414" t="s">
        <v>60</v>
      </c>
      <c r="F206" s="964">
        <f>Plan1!D157</f>
        <v>30</v>
      </c>
      <c r="G206" s="893">
        <f t="shared" ref="G206:G207" si="48">K206</f>
        <v>12.76</v>
      </c>
      <c r="H206" s="883">
        <f t="shared" ref="H206:H207" si="49">F206*G206</f>
        <v>382.8</v>
      </c>
      <c r="I206" s="844"/>
      <c r="J206" s="981">
        <v>10.08</v>
      </c>
      <c r="K206" s="842">
        <f t="shared" ref="K206:K207" si="50">ROUND(J206*(1+$H$14),2)</f>
        <v>12.76</v>
      </c>
    </row>
    <row r="207" spans="1:1026" ht="36" customHeight="1">
      <c r="A207" s="844"/>
      <c r="B207" s="977" t="s">
        <v>515</v>
      </c>
      <c r="C207" s="420" t="s">
        <v>516</v>
      </c>
      <c r="D207" s="437" t="s">
        <v>517</v>
      </c>
      <c r="E207" s="414" t="s">
        <v>60</v>
      </c>
      <c r="F207" s="964">
        <f>Plan1!D158</f>
        <v>10</v>
      </c>
      <c r="G207" s="893">
        <f t="shared" si="48"/>
        <v>13.07</v>
      </c>
      <c r="H207" s="883">
        <f t="shared" si="49"/>
        <v>130.69999999999999</v>
      </c>
      <c r="I207" s="844"/>
      <c r="J207" s="981">
        <v>10.32</v>
      </c>
      <c r="K207" s="842">
        <f t="shared" si="50"/>
        <v>13.07</v>
      </c>
    </row>
    <row r="208" spans="1:1026" s="831" customFormat="1" ht="24.95" customHeight="1" outlineLevel="1">
      <c r="A208" s="900"/>
      <c r="B208" s="966" t="s">
        <v>518</v>
      </c>
      <c r="C208" s="418"/>
      <c r="D208" s="441" t="s">
        <v>519</v>
      </c>
      <c r="E208" s="418"/>
      <c r="F208" s="967"/>
      <c r="G208" s="904"/>
      <c r="H208" s="905"/>
      <c r="I208" s="900"/>
      <c r="J208" s="917"/>
      <c r="K208" s="918"/>
    </row>
    <row r="209" spans="1:11" s="830" customFormat="1" ht="48" customHeight="1" outlineLevel="1">
      <c r="A209" s="844"/>
      <c r="B209" s="986" t="s">
        <v>520</v>
      </c>
      <c r="C209" s="420" t="s">
        <v>521</v>
      </c>
      <c r="D209" s="440" t="s">
        <v>522</v>
      </c>
      <c r="E209" s="420" t="s">
        <v>60</v>
      </c>
      <c r="F209" s="970">
        <f>Plan1!D160</f>
        <v>10</v>
      </c>
      <c r="G209" s="893">
        <f t="shared" ref="G209:G214" si="51">K209</f>
        <v>38.06</v>
      </c>
      <c r="H209" s="883">
        <f t="shared" ref="H209:H214" si="52">F209*G209</f>
        <v>380.6</v>
      </c>
      <c r="I209" s="844"/>
      <c r="J209" s="982">
        <v>30.06</v>
      </c>
      <c r="K209" s="842">
        <f t="shared" si="27"/>
        <v>38.06</v>
      </c>
    </row>
    <row r="210" spans="1:11" s="830" customFormat="1" ht="46.5" customHeight="1" outlineLevel="1">
      <c r="A210" s="844"/>
      <c r="B210" s="986" t="s">
        <v>523</v>
      </c>
      <c r="C210" s="969" t="s">
        <v>524</v>
      </c>
      <c r="D210" s="442" t="s">
        <v>525</v>
      </c>
      <c r="E210" s="420" t="s">
        <v>60</v>
      </c>
      <c r="F210" s="970">
        <f>Plan1!D161</f>
        <v>9</v>
      </c>
      <c r="G210" s="893">
        <f t="shared" si="51"/>
        <v>55.97</v>
      </c>
      <c r="H210" s="883">
        <f t="shared" si="52"/>
        <v>503.73</v>
      </c>
      <c r="I210" s="844"/>
      <c r="J210" s="982">
        <v>44.21</v>
      </c>
      <c r="K210" s="842">
        <f t="shared" si="27"/>
        <v>55.97</v>
      </c>
    </row>
    <row r="211" spans="1:11" s="830" customFormat="1" ht="24.95" customHeight="1" outlineLevel="1">
      <c r="A211" s="844"/>
      <c r="B211" s="986" t="s">
        <v>526</v>
      </c>
      <c r="C211" s="879" t="s">
        <v>527</v>
      </c>
      <c r="D211" s="443" t="s">
        <v>528</v>
      </c>
      <c r="E211" s="444" t="s">
        <v>60</v>
      </c>
      <c r="F211" s="987">
        <f>Plan1!D162</f>
        <v>20</v>
      </c>
      <c r="G211" s="893">
        <f t="shared" si="51"/>
        <v>54.47</v>
      </c>
      <c r="H211" s="883">
        <f t="shared" si="52"/>
        <v>1089.4000000000001</v>
      </c>
      <c r="I211" s="844"/>
      <c r="J211" s="841">
        <v>43.02</v>
      </c>
      <c r="K211" s="842">
        <f t="shared" si="27"/>
        <v>54.47</v>
      </c>
    </row>
    <row r="212" spans="1:11" s="830" customFormat="1" ht="24.95" customHeight="1" outlineLevel="1">
      <c r="A212" s="844"/>
      <c r="B212" s="986" t="s">
        <v>529</v>
      </c>
      <c r="C212" s="879" t="s">
        <v>530</v>
      </c>
      <c r="D212" s="443" t="s">
        <v>531</v>
      </c>
      <c r="E212" s="444" t="s">
        <v>60</v>
      </c>
      <c r="F212" s="987">
        <f>Plan1!D163</f>
        <v>30</v>
      </c>
      <c r="G212" s="893">
        <f t="shared" si="51"/>
        <v>31.68</v>
      </c>
      <c r="H212" s="883">
        <f t="shared" si="52"/>
        <v>950.4</v>
      </c>
      <c r="I212" s="844"/>
      <c r="J212" s="841">
        <v>25.02</v>
      </c>
      <c r="K212" s="842">
        <f t="shared" si="27"/>
        <v>31.68</v>
      </c>
    </row>
    <row r="213" spans="1:11" s="830" customFormat="1" ht="24.95" customHeight="1" outlineLevel="1">
      <c r="A213" s="844"/>
      <c r="B213" s="986" t="s">
        <v>532</v>
      </c>
      <c r="C213" s="879" t="s">
        <v>533</v>
      </c>
      <c r="D213" s="443" t="s">
        <v>534</v>
      </c>
      <c r="E213" s="444" t="s">
        <v>60</v>
      </c>
      <c r="F213" s="987">
        <f>Plan1!D164</f>
        <v>6</v>
      </c>
      <c r="G213" s="893">
        <f t="shared" si="51"/>
        <v>35.07</v>
      </c>
      <c r="H213" s="883">
        <f t="shared" si="52"/>
        <v>210.42000000000002</v>
      </c>
      <c r="I213" s="844"/>
      <c r="J213" s="841">
        <v>27.7</v>
      </c>
      <c r="K213" s="842">
        <f t="shared" si="27"/>
        <v>35.07</v>
      </c>
    </row>
    <row r="214" spans="1:11" s="830" customFormat="1" ht="39.950000000000003" customHeight="1" outlineLevel="1">
      <c r="A214" s="844"/>
      <c r="B214" s="986" t="s">
        <v>535</v>
      </c>
      <c r="C214" s="879" t="s">
        <v>536</v>
      </c>
      <c r="D214" s="443" t="s">
        <v>537</v>
      </c>
      <c r="E214" s="444" t="s">
        <v>60</v>
      </c>
      <c r="F214" s="987">
        <f>Plan1!D165</f>
        <v>3</v>
      </c>
      <c r="G214" s="893">
        <f t="shared" si="51"/>
        <v>13061.51</v>
      </c>
      <c r="H214" s="883">
        <f t="shared" si="52"/>
        <v>39184.53</v>
      </c>
      <c r="I214" s="844"/>
      <c r="J214" s="841">
        <v>10316.33</v>
      </c>
      <c r="K214" s="842">
        <f t="shared" si="27"/>
        <v>13061.51</v>
      </c>
    </row>
    <row r="215" spans="1:11" s="830" customFormat="1" ht="24.95" customHeight="1">
      <c r="A215" s="844"/>
      <c r="B215" s="988" t="s">
        <v>538</v>
      </c>
      <c r="C215" s="988"/>
      <c r="D215" s="445" t="s">
        <v>539</v>
      </c>
      <c r="E215" s="446"/>
      <c r="F215" s="989"/>
      <c r="G215" s="990"/>
      <c r="H215" s="991"/>
      <c r="I215" s="844"/>
      <c r="J215" s="841"/>
      <c r="K215" s="842">
        <f t="shared" si="27"/>
        <v>0</v>
      </c>
    </row>
    <row r="216" spans="1:11" s="831" customFormat="1" ht="24.95" customHeight="1" outlineLevel="1">
      <c r="A216" s="900"/>
      <c r="B216" s="418" t="s">
        <v>540</v>
      </c>
      <c r="C216" s="901"/>
      <c r="D216" s="441" t="s">
        <v>519</v>
      </c>
      <c r="E216" s="418"/>
      <c r="F216" s="967"/>
      <c r="G216" s="908"/>
      <c r="H216" s="905"/>
      <c r="I216" s="900"/>
      <c r="J216" s="917"/>
      <c r="K216" s="918"/>
    </row>
    <row r="217" spans="1:11" s="830" customFormat="1" ht="51" customHeight="1" outlineLevel="1">
      <c r="A217" s="844"/>
      <c r="B217" s="444" t="s">
        <v>541</v>
      </c>
      <c r="C217" s="879" t="s">
        <v>542</v>
      </c>
      <c r="D217" s="443" t="s">
        <v>543</v>
      </c>
      <c r="E217" s="444" t="s">
        <v>60</v>
      </c>
      <c r="F217" s="987">
        <f>Plan1!D168</f>
        <v>12</v>
      </c>
      <c r="G217" s="893">
        <f>K217</f>
        <v>536.21</v>
      </c>
      <c r="H217" s="883">
        <f>F217*G217</f>
        <v>6434.52</v>
      </c>
      <c r="I217" s="844"/>
      <c r="J217" s="841">
        <v>423.51</v>
      </c>
      <c r="K217" s="842">
        <f>ROUND(J217*(1+$H$14),2)</f>
        <v>536.21</v>
      </c>
    </row>
    <row r="218" spans="1:11" s="830" customFormat="1" ht="36.75" customHeight="1" outlineLevel="1">
      <c r="A218" s="844"/>
      <c r="B218" s="444" t="s">
        <v>544</v>
      </c>
      <c r="C218" s="879" t="s">
        <v>545</v>
      </c>
      <c r="D218" s="443" t="s">
        <v>546</v>
      </c>
      <c r="E218" s="444" t="s">
        <v>38</v>
      </c>
      <c r="F218" s="987">
        <f>Plan1!D169</f>
        <v>320.3</v>
      </c>
      <c r="G218" s="893">
        <f>K218</f>
        <v>67.7</v>
      </c>
      <c r="H218" s="883">
        <f>F218*G218</f>
        <v>21684.31</v>
      </c>
      <c r="I218" s="844"/>
      <c r="J218" s="841">
        <v>53.47</v>
      </c>
      <c r="K218" s="842">
        <f>ROUND(J218*(1+$H$14),2)</f>
        <v>67.7</v>
      </c>
    </row>
    <row r="219" spans="1:11" ht="24.95" customHeight="1">
      <c r="A219" s="844"/>
      <c r="B219" s="875" t="s">
        <v>547</v>
      </c>
      <c r="C219" s="875"/>
      <c r="D219" s="447" t="s">
        <v>548</v>
      </c>
      <c r="E219" s="422"/>
      <c r="F219" s="971"/>
      <c r="G219" s="877"/>
      <c r="H219" s="878"/>
      <c r="I219" s="844"/>
    </row>
    <row r="220" spans="1:11" ht="38.25" customHeight="1" outlineLevel="1">
      <c r="A220" s="844"/>
      <c r="B220" s="444" t="s">
        <v>549</v>
      </c>
      <c r="C220" s="879" t="s">
        <v>550</v>
      </c>
      <c r="D220" s="443" t="s">
        <v>551</v>
      </c>
      <c r="E220" s="444" t="s">
        <v>60</v>
      </c>
      <c r="F220" s="987">
        <f>Plan1!D171</f>
        <v>4</v>
      </c>
      <c r="G220" s="893">
        <f t="shared" ref="G220:G227" si="53">K220</f>
        <v>423.42</v>
      </c>
      <c r="H220" s="883">
        <f t="shared" ref="H220:H227" si="54">F220*G220</f>
        <v>1693.68</v>
      </c>
      <c r="I220" s="844"/>
      <c r="J220" s="841">
        <v>334.43</v>
      </c>
      <c r="K220" s="842">
        <f t="shared" ref="K220:K240" si="55">ROUND(J220*(1+$H$14),2)</f>
        <v>423.42</v>
      </c>
    </row>
    <row r="221" spans="1:11" ht="41.25" customHeight="1" outlineLevel="1">
      <c r="A221" s="844"/>
      <c r="B221" s="444" t="s">
        <v>552</v>
      </c>
      <c r="C221" s="879" t="s">
        <v>553</v>
      </c>
      <c r="D221" s="443" t="s">
        <v>554</v>
      </c>
      <c r="E221" s="444" t="s">
        <v>60</v>
      </c>
      <c r="F221" s="987">
        <f>Plan1!D172</f>
        <v>15</v>
      </c>
      <c r="G221" s="893">
        <f t="shared" si="53"/>
        <v>627.58000000000004</v>
      </c>
      <c r="H221" s="883">
        <f t="shared" si="54"/>
        <v>9413.7000000000007</v>
      </c>
      <c r="I221" s="844"/>
      <c r="J221" s="841">
        <v>495.68</v>
      </c>
      <c r="K221" s="842">
        <f t="shared" si="55"/>
        <v>627.58000000000004</v>
      </c>
    </row>
    <row r="222" spans="1:11" ht="39" customHeight="1" outlineLevel="1">
      <c r="A222" s="844"/>
      <c r="B222" s="444" t="s">
        <v>555</v>
      </c>
      <c r="C222" s="879" t="s">
        <v>556</v>
      </c>
      <c r="D222" s="443" t="s">
        <v>557</v>
      </c>
      <c r="E222" s="444" t="s">
        <v>60</v>
      </c>
      <c r="F222" s="987">
        <f>Plan1!D173</f>
        <v>24</v>
      </c>
      <c r="G222" s="893">
        <f t="shared" si="53"/>
        <v>378.48</v>
      </c>
      <c r="H222" s="883">
        <f t="shared" si="54"/>
        <v>9083.52</v>
      </c>
      <c r="I222" s="844"/>
      <c r="J222" s="841">
        <v>298.93</v>
      </c>
      <c r="K222" s="842">
        <f t="shared" si="55"/>
        <v>378.48</v>
      </c>
    </row>
    <row r="223" spans="1:11" s="830" customFormat="1" ht="41.25" customHeight="1" outlineLevel="1">
      <c r="A223" s="844"/>
      <c r="B223" s="444" t="s">
        <v>558</v>
      </c>
      <c r="C223" s="879" t="s">
        <v>559</v>
      </c>
      <c r="D223" s="443" t="s">
        <v>560</v>
      </c>
      <c r="E223" s="444" t="s">
        <v>60</v>
      </c>
      <c r="F223" s="987">
        <f>Plan1!D174</f>
        <v>2</v>
      </c>
      <c r="G223" s="893">
        <f t="shared" si="53"/>
        <v>558.70000000000005</v>
      </c>
      <c r="H223" s="883">
        <f t="shared" si="54"/>
        <v>1117.4000000000001</v>
      </c>
      <c r="I223" s="844"/>
      <c r="J223" s="841">
        <v>441.28</v>
      </c>
      <c r="K223" s="842">
        <f t="shared" si="55"/>
        <v>558.70000000000005</v>
      </c>
    </row>
    <row r="224" spans="1:11" s="830" customFormat="1" ht="41.25" customHeight="1" outlineLevel="1">
      <c r="A224" s="844">
        <v>330.53500000000003</v>
      </c>
      <c r="B224" s="444" t="s">
        <v>561</v>
      </c>
      <c r="C224" s="879" t="s">
        <v>562</v>
      </c>
      <c r="D224" s="443" t="s">
        <v>563</v>
      </c>
      <c r="E224" s="444" t="s">
        <v>60</v>
      </c>
      <c r="F224" s="987">
        <f>Plan1!D175</f>
        <v>5</v>
      </c>
      <c r="G224" s="893">
        <f t="shared" si="53"/>
        <v>418.48</v>
      </c>
      <c r="H224" s="883">
        <f t="shared" si="54"/>
        <v>2092.4</v>
      </c>
      <c r="I224" s="844"/>
      <c r="J224" s="841">
        <v>330.53</v>
      </c>
      <c r="K224" s="842">
        <f t="shared" si="55"/>
        <v>418.48</v>
      </c>
    </row>
    <row r="225" spans="1:1026" s="830" customFormat="1" ht="39" customHeight="1" outlineLevel="1">
      <c r="A225" s="844"/>
      <c r="B225" s="444" t="s">
        <v>564</v>
      </c>
      <c r="C225" s="879" t="s">
        <v>565</v>
      </c>
      <c r="D225" s="443" t="s">
        <v>566</v>
      </c>
      <c r="E225" s="444" t="s">
        <v>60</v>
      </c>
      <c r="F225" s="987">
        <f>Plan1!D176</f>
        <v>1</v>
      </c>
      <c r="G225" s="893">
        <f t="shared" si="53"/>
        <v>1769.84</v>
      </c>
      <c r="H225" s="883">
        <f t="shared" si="54"/>
        <v>1769.84</v>
      </c>
      <c r="I225" s="844"/>
      <c r="J225" s="841">
        <v>1397.87</v>
      </c>
      <c r="K225" s="842">
        <f t="shared" si="55"/>
        <v>1769.84</v>
      </c>
    </row>
    <row r="226" spans="1:1026" s="388" customFormat="1" ht="45.95" customHeight="1" outlineLevel="1">
      <c r="A226" s="885"/>
      <c r="B226" s="444" t="s">
        <v>567</v>
      </c>
      <c r="C226" s="886" t="s">
        <v>568</v>
      </c>
      <c r="D226" s="448" t="s">
        <v>569</v>
      </c>
      <c r="E226" s="449" t="s">
        <v>60</v>
      </c>
      <c r="F226" s="992">
        <f>Plan1!D177</f>
        <v>3</v>
      </c>
      <c r="G226" s="925">
        <f t="shared" si="53"/>
        <v>505.55</v>
      </c>
      <c r="H226" s="889">
        <f t="shared" si="54"/>
        <v>1516.65</v>
      </c>
      <c r="I226" s="885"/>
      <c r="J226" s="915">
        <v>399.3</v>
      </c>
      <c r="K226" s="916">
        <f t="shared" si="55"/>
        <v>505.55</v>
      </c>
      <c r="L226" s="832"/>
      <c r="M226" s="832"/>
      <c r="N226" s="832"/>
      <c r="O226" s="832"/>
      <c r="P226" s="832"/>
      <c r="Q226" s="832"/>
      <c r="R226" s="832"/>
      <c r="S226" s="832"/>
      <c r="T226" s="832"/>
      <c r="U226" s="832"/>
      <c r="V226" s="832"/>
      <c r="W226" s="832"/>
      <c r="X226" s="832"/>
      <c r="Y226" s="832"/>
      <c r="Z226" s="832"/>
      <c r="AA226" s="832"/>
      <c r="AB226" s="832"/>
      <c r="AC226" s="832"/>
      <c r="AD226" s="832"/>
      <c r="AE226" s="832"/>
      <c r="AF226" s="832"/>
      <c r="AG226" s="832"/>
      <c r="AH226" s="832"/>
      <c r="AI226" s="832"/>
      <c r="AJ226" s="832"/>
      <c r="AK226" s="832"/>
      <c r="AL226" s="832"/>
      <c r="AM226" s="832"/>
      <c r="AN226" s="832"/>
      <c r="AO226" s="832"/>
      <c r="AP226" s="832"/>
      <c r="AQ226" s="832"/>
      <c r="AR226" s="832"/>
      <c r="AS226" s="832"/>
      <c r="AT226" s="832"/>
      <c r="AU226" s="832"/>
      <c r="AV226" s="832"/>
      <c r="AW226" s="832"/>
      <c r="AX226" s="832"/>
      <c r="AY226" s="832"/>
      <c r="AZ226" s="832"/>
      <c r="BA226" s="832"/>
      <c r="BB226" s="832"/>
      <c r="BC226" s="832"/>
      <c r="BD226" s="832"/>
      <c r="BE226" s="832"/>
      <c r="BF226" s="832"/>
      <c r="BG226" s="832"/>
      <c r="BH226" s="832"/>
      <c r="BI226" s="832"/>
      <c r="BJ226" s="832"/>
      <c r="BK226" s="832"/>
      <c r="BL226" s="832"/>
      <c r="BM226" s="832"/>
      <c r="BN226" s="832"/>
      <c r="BO226" s="832"/>
      <c r="BP226" s="832"/>
      <c r="BQ226" s="832"/>
      <c r="BR226" s="832"/>
      <c r="BS226" s="832"/>
      <c r="BT226" s="832"/>
      <c r="BU226" s="832"/>
      <c r="BV226" s="832"/>
      <c r="BW226" s="832"/>
      <c r="BX226" s="832"/>
      <c r="BY226" s="832"/>
      <c r="BZ226" s="832"/>
      <c r="CA226" s="832"/>
      <c r="CB226" s="832"/>
      <c r="CC226" s="832"/>
      <c r="CD226" s="832"/>
      <c r="CE226" s="832"/>
      <c r="CF226" s="832"/>
      <c r="CG226" s="832"/>
      <c r="CH226" s="832"/>
      <c r="CI226" s="832"/>
      <c r="CJ226" s="832"/>
      <c r="CK226" s="832"/>
      <c r="CL226" s="832"/>
      <c r="CM226" s="832"/>
      <c r="CN226" s="832"/>
      <c r="CO226" s="832"/>
      <c r="CP226" s="832"/>
      <c r="CQ226" s="832"/>
      <c r="CR226" s="832"/>
      <c r="CS226" s="832"/>
      <c r="CT226" s="832"/>
      <c r="CU226" s="832"/>
      <c r="CV226" s="832"/>
      <c r="CW226" s="832"/>
      <c r="CX226" s="832"/>
      <c r="CY226" s="832"/>
      <c r="CZ226" s="832"/>
      <c r="DA226" s="832"/>
      <c r="DB226" s="832"/>
      <c r="DC226" s="832"/>
      <c r="DD226" s="832"/>
      <c r="DE226" s="832"/>
      <c r="DF226" s="832"/>
      <c r="DG226" s="832"/>
      <c r="DH226" s="832"/>
      <c r="DI226" s="832"/>
      <c r="DJ226" s="832"/>
      <c r="DK226" s="832"/>
      <c r="DL226" s="832"/>
      <c r="DM226" s="832"/>
      <c r="DN226" s="832"/>
      <c r="DO226" s="832"/>
      <c r="DP226" s="832"/>
      <c r="DQ226" s="832"/>
      <c r="DR226" s="832"/>
      <c r="DS226" s="832"/>
      <c r="DT226" s="832"/>
      <c r="DU226" s="832"/>
      <c r="DV226" s="832"/>
      <c r="DW226" s="832"/>
      <c r="DX226" s="832"/>
      <c r="DY226" s="832"/>
      <c r="DZ226" s="832"/>
      <c r="EA226" s="832"/>
      <c r="EB226" s="832"/>
      <c r="EC226" s="832"/>
      <c r="ED226" s="832"/>
      <c r="EE226" s="832"/>
      <c r="EF226" s="832"/>
      <c r="EG226" s="832"/>
      <c r="EH226" s="832"/>
      <c r="EI226" s="832"/>
      <c r="EJ226" s="832"/>
      <c r="EK226" s="832"/>
      <c r="EL226" s="832"/>
      <c r="EM226" s="832"/>
      <c r="EN226" s="832"/>
      <c r="EO226" s="832"/>
      <c r="EP226" s="832"/>
      <c r="EQ226" s="832"/>
      <c r="ER226" s="832"/>
      <c r="ES226" s="832"/>
      <c r="ET226" s="832"/>
      <c r="EU226" s="832"/>
      <c r="EV226" s="832"/>
      <c r="EW226" s="832"/>
      <c r="EX226" s="832"/>
      <c r="EY226" s="832"/>
      <c r="EZ226" s="832"/>
      <c r="FA226" s="832"/>
      <c r="FB226" s="832"/>
      <c r="FC226" s="832"/>
      <c r="FD226" s="832"/>
      <c r="FE226" s="832"/>
      <c r="FF226" s="832"/>
      <c r="FG226" s="832"/>
      <c r="FH226" s="832"/>
      <c r="FI226" s="832"/>
      <c r="FJ226" s="832"/>
      <c r="FK226" s="832"/>
      <c r="FL226" s="832"/>
      <c r="FM226" s="832"/>
      <c r="FN226" s="832"/>
      <c r="FO226" s="832"/>
      <c r="FP226" s="832"/>
      <c r="FQ226" s="832"/>
      <c r="FR226" s="832"/>
      <c r="FS226" s="832"/>
      <c r="FT226" s="832"/>
      <c r="FU226" s="832"/>
      <c r="FV226" s="832"/>
      <c r="FW226" s="832"/>
      <c r="FX226" s="832"/>
      <c r="FY226" s="832"/>
      <c r="FZ226" s="832"/>
      <c r="GA226" s="832"/>
      <c r="GB226" s="832"/>
      <c r="GC226" s="832"/>
      <c r="GD226" s="832"/>
      <c r="GE226" s="832"/>
      <c r="GF226" s="832"/>
      <c r="GG226" s="832"/>
      <c r="GH226" s="832"/>
      <c r="GI226" s="832"/>
      <c r="GJ226" s="832"/>
      <c r="GK226" s="832"/>
      <c r="GL226" s="832"/>
      <c r="GM226" s="832"/>
      <c r="GN226" s="832"/>
      <c r="GO226" s="832"/>
      <c r="GP226" s="832"/>
      <c r="GQ226" s="832"/>
      <c r="GR226" s="832"/>
      <c r="GS226" s="832"/>
      <c r="GT226" s="832"/>
      <c r="GU226" s="832"/>
      <c r="GV226" s="832"/>
      <c r="GW226" s="832"/>
      <c r="GX226" s="832"/>
      <c r="GY226" s="832"/>
      <c r="GZ226" s="832"/>
      <c r="HA226" s="832"/>
      <c r="HB226" s="832"/>
      <c r="HC226" s="832"/>
      <c r="HD226" s="832"/>
      <c r="HE226" s="832"/>
      <c r="HF226" s="832"/>
      <c r="HG226" s="832"/>
      <c r="HH226" s="832"/>
      <c r="HI226" s="832"/>
      <c r="HJ226" s="832"/>
      <c r="HK226" s="832"/>
      <c r="HL226" s="832"/>
      <c r="HM226" s="832"/>
      <c r="HN226" s="832"/>
      <c r="HO226" s="832"/>
      <c r="HP226" s="832"/>
      <c r="HQ226" s="832"/>
      <c r="HR226" s="832"/>
      <c r="HS226" s="832"/>
      <c r="HT226" s="832"/>
      <c r="HU226" s="832"/>
      <c r="HV226" s="832"/>
      <c r="HW226" s="832"/>
      <c r="HX226" s="832"/>
      <c r="HY226" s="832"/>
      <c r="HZ226" s="832"/>
      <c r="IA226" s="832"/>
      <c r="IB226" s="832"/>
      <c r="IC226" s="832"/>
      <c r="ID226" s="832"/>
      <c r="IE226" s="832"/>
      <c r="IF226" s="832"/>
      <c r="IG226" s="832"/>
      <c r="IH226" s="832"/>
      <c r="II226" s="832"/>
      <c r="IJ226" s="832"/>
      <c r="IK226" s="832"/>
      <c r="IL226" s="832"/>
      <c r="IM226" s="832"/>
      <c r="IN226" s="832"/>
      <c r="IO226" s="832"/>
      <c r="IP226" s="832"/>
      <c r="IQ226" s="832"/>
      <c r="IR226" s="832"/>
      <c r="IS226" s="832"/>
      <c r="IT226" s="832"/>
      <c r="IU226" s="832"/>
      <c r="IV226" s="832"/>
      <c r="IW226" s="832"/>
      <c r="IX226" s="832"/>
      <c r="IY226" s="832"/>
      <c r="IZ226" s="832"/>
      <c r="JA226" s="832"/>
      <c r="JB226" s="832"/>
      <c r="JC226" s="832"/>
      <c r="JD226" s="832"/>
      <c r="JE226" s="832"/>
      <c r="JF226" s="832"/>
      <c r="JG226" s="832"/>
      <c r="JH226" s="832"/>
      <c r="JI226" s="832"/>
      <c r="JJ226" s="832"/>
      <c r="JK226" s="832"/>
      <c r="JL226" s="832"/>
      <c r="JM226" s="832"/>
      <c r="JN226" s="832"/>
      <c r="JO226" s="832"/>
      <c r="JP226" s="832"/>
      <c r="JQ226" s="832"/>
      <c r="JR226" s="832"/>
      <c r="JS226" s="832"/>
      <c r="JT226" s="832"/>
      <c r="JU226" s="832"/>
      <c r="JV226" s="832"/>
      <c r="JW226" s="832"/>
      <c r="JX226" s="832"/>
      <c r="JY226" s="832"/>
      <c r="JZ226" s="832"/>
      <c r="KA226" s="832"/>
      <c r="KB226" s="832"/>
      <c r="KC226" s="832"/>
      <c r="KD226" s="832"/>
      <c r="KE226" s="832"/>
      <c r="KF226" s="832"/>
      <c r="KG226" s="832"/>
      <c r="KH226" s="832"/>
      <c r="KI226" s="832"/>
      <c r="KJ226" s="832"/>
      <c r="KK226" s="832"/>
      <c r="KL226" s="832"/>
      <c r="KM226" s="832"/>
      <c r="KN226" s="832"/>
      <c r="KO226" s="832"/>
      <c r="KP226" s="832"/>
      <c r="KQ226" s="832"/>
      <c r="KR226" s="832"/>
      <c r="KS226" s="832"/>
      <c r="KT226" s="832"/>
      <c r="KU226" s="832"/>
      <c r="KV226" s="832"/>
      <c r="KW226" s="832"/>
      <c r="KX226" s="832"/>
      <c r="KY226" s="832"/>
      <c r="KZ226" s="832"/>
      <c r="LA226" s="832"/>
      <c r="LB226" s="832"/>
      <c r="LC226" s="832"/>
      <c r="LD226" s="832"/>
      <c r="LE226" s="832"/>
      <c r="LF226" s="832"/>
      <c r="LG226" s="832"/>
      <c r="LH226" s="832"/>
      <c r="LI226" s="832"/>
      <c r="LJ226" s="832"/>
      <c r="LK226" s="832"/>
      <c r="LL226" s="832"/>
      <c r="LM226" s="832"/>
      <c r="LN226" s="832"/>
      <c r="LO226" s="832"/>
      <c r="LP226" s="832"/>
      <c r="LQ226" s="832"/>
      <c r="LR226" s="832"/>
      <c r="LS226" s="832"/>
      <c r="LT226" s="832"/>
      <c r="LU226" s="832"/>
      <c r="LV226" s="832"/>
      <c r="LW226" s="832"/>
      <c r="LX226" s="832"/>
      <c r="LY226" s="832"/>
      <c r="LZ226" s="832"/>
      <c r="MA226" s="832"/>
      <c r="MB226" s="832"/>
      <c r="MC226" s="832"/>
      <c r="MD226" s="832"/>
      <c r="ME226" s="832"/>
      <c r="MF226" s="832"/>
      <c r="MG226" s="832"/>
      <c r="MH226" s="832"/>
      <c r="MI226" s="832"/>
      <c r="MJ226" s="832"/>
      <c r="MK226" s="832"/>
      <c r="ML226" s="832"/>
      <c r="MM226" s="832"/>
      <c r="MN226" s="832"/>
      <c r="MO226" s="832"/>
      <c r="MP226" s="832"/>
      <c r="MQ226" s="832"/>
      <c r="MR226" s="832"/>
      <c r="MS226" s="832"/>
      <c r="MT226" s="832"/>
      <c r="MU226" s="832"/>
      <c r="MV226" s="832"/>
      <c r="MW226" s="832"/>
      <c r="MX226" s="832"/>
      <c r="MY226" s="832"/>
      <c r="MZ226" s="832"/>
      <c r="NA226" s="832"/>
      <c r="NB226" s="832"/>
      <c r="NC226" s="832"/>
      <c r="ND226" s="832"/>
      <c r="NE226" s="832"/>
      <c r="NF226" s="832"/>
      <c r="NG226" s="832"/>
      <c r="NH226" s="832"/>
      <c r="NI226" s="832"/>
      <c r="NJ226" s="832"/>
      <c r="NK226" s="832"/>
      <c r="NL226" s="832"/>
      <c r="NM226" s="832"/>
      <c r="NN226" s="832"/>
      <c r="NO226" s="832"/>
      <c r="NP226" s="832"/>
      <c r="NQ226" s="832"/>
      <c r="NR226" s="832"/>
      <c r="NS226" s="832"/>
      <c r="NT226" s="832"/>
      <c r="NU226" s="832"/>
      <c r="NV226" s="832"/>
      <c r="NW226" s="832"/>
      <c r="NX226" s="832"/>
      <c r="NY226" s="832"/>
      <c r="NZ226" s="832"/>
      <c r="OA226" s="832"/>
      <c r="OB226" s="832"/>
      <c r="OC226" s="832"/>
      <c r="OD226" s="832"/>
      <c r="OE226" s="832"/>
      <c r="OF226" s="832"/>
      <c r="OG226" s="832"/>
      <c r="OH226" s="832"/>
      <c r="OI226" s="832"/>
      <c r="OJ226" s="832"/>
      <c r="OK226" s="832"/>
      <c r="OL226" s="832"/>
      <c r="OM226" s="832"/>
      <c r="ON226" s="832"/>
      <c r="OO226" s="832"/>
      <c r="OP226" s="832"/>
      <c r="OQ226" s="832"/>
      <c r="OR226" s="832"/>
      <c r="OS226" s="832"/>
      <c r="OT226" s="832"/>
      <c r="OU226" s="832"/>
      <c r="OV226" s="832"/>
      <c r="OW226" s="832"/>
      <c r="OX226" s="832"/>
      <c r="OY226" s="832"/>
      <c r="OZ226" s="832"/>
      <c r="PA226" s="832"/>
      <c r="PB226" s="832"/>
      <c r="PC226" s="832"/>
      <c r="PD226" s="832"/>
      <c r="PE226" s="832"/>
      <c r="PF226" s="832"/>
      <c r="PG226" s="832"/>
      <c r="PH226" s="832"/>
      <c r="PI226" s="832"/>
      <c r="PJ226" s="832"/>
      <c r="PK226" s="832"/>
      <c r="PL226" s="832"/>
      <c r="PM226" s="832"/>
      <c r="PN226" s="832"/>
      <c r="PO226" s="832"/>
      <c r="PP226" s="832"/>
      <c r="PQ226" s="832"/>
      <c r="PR226" s="832"/>
      <c r="PS226" s="832"/>
      <c r="PT226" s="832"/>
      <c r="PU226" s="832"/>
      <c r="PV226" s="832"/>
      <c r="PW226" s="832"/>
      <c r="PX226" s="832"/>
      <c r="PY226" s="832"/>
      <c r="PZ226" s="832"/>
      <c r="QA226" s="832"/>
      <c r="QB226" s="832"/>
      <c r="QC226" s="832"/>
      <c r="QD226" s="832"/>
      <c r="QE226" s="832"/>
      <c r="QF226" s="832"/>
      <c r="QG226" s="832"/>
      <c r="QH226" s="832"/>
      <c r="QI226" s="832"/>
      <c r="QJ226" s="832"/>
      <c r="QK226" s="832"/>
      <c r="QL226" s="832"/>
      <c r="QM226" s="832"/>
      <c r="QN226" s="832"/>
      <c r="QO226" s="832"/>
      <c r="QP226" s="832"/>
      <c r="QQ226" s="832"/>
      <c r="QR226" s="832"/>
      <c r="QS226" s="832"/>
      <c r="QT226" s="832"/>
      <c r="QU226" s="832"/>
      <c r="QV226" s="832"/>
      <c r="QW226" s="832"/>
      <c r="QX226" s="832"/>
      <c r="QY226" s="832"/>
      <c r="QZ226" s="832"/>
      <c r="RA226" s="832"/>
      <c r="RB226" s="832"/>
      <c r="RC226" s="832"/>
      <c r="RD226" s="832"/>
      <c r="RE226" s="832"/>
      <c r="RF226" s="832"/>
      <c r="RG226" s="832"/>
      <c r="RH226" s="832"/>
      <c r="RI226" s="832"/>
      <c r="RJ226" s="832"/>
      <c r="RK226" s="832"/>
      <c r="RL226" s="832"/>
      <c r="RM226" s="832"/>
      <c r="RN226" s="832"/>
      <c r="RO226" s="832"/>
      <c r="RP226" s="832"/>
      <c r="RQ226" s="832"/>
      <c r="RR226" s="832"/>
      <c r="RS226" s="832"/>
      <c r="RT226" s="832"/>
      <c r="RU226" s="832"/>
      <c r="RV226" s="832"/>
      <c r="RW226" s="832"/>
      <c r="RX226" s="832"/>
      <c r="RY226" s="832"/>
      <c r="RZ226" s="832"/>
      <c r="SA226" s="832"/>
      <c r="SB226" s="832"/>
      <c r="SC226" s="832"/>
      <c r="SD226" s="832"/>
      <c r="SE226" s="832"/>
      <c r="SF226" s="832"/>
      <c r="SG226" s="832"/>
      <c r="SH226" s="832"/>
      <c r="SI226" s="832"/>
      <c r="SJ226" s="832"/>
      <c r="SK226" s="832"/>
      <c r="SL226" s="832"/>
      <c r="SM226" s="832"/>
      <c r="SN226" s="832"/>
      <c r="SO226" s="832"/>
      <c r="SP226" s="832"/>
      <c r="SQ226" s="832"/>
      <c r="SR226" s="832"/>
      <c r="SS226" s="832"/>
      <c r="ST226" s="832"/>
      <c r="SU226" s="832"/>
      <c r="SV226" s="832"/>
      <c r="SW226" s="832"/>
      <c r="SX226" s="832"/>
      <c r="SY226" s="832"/>
      <c r="SZ226" s="832"/>
      <c r="TA226" s="832"/>
      <c r="TB226" s="832"/>
      <c r="TC226" s="832"/>
      <c r="TD226" s="832"/>
      <c r="TE226" s="832"/>
      <c r="TF226" s="832"/>
      <c r="TG226" s="832"/>
      <c r="TH226" s="832"/>
      <c r="TI226" s="832"/>
      <c r="TJ226" s="832"/>
      <c r="TK226" s="832"/>
      <c r="TL226" s="832"/>
      <c r="TM226" s="832"/>
      <c r="TN226" s="832"/>
      <c r="TO226" s="832"/>
      <c r="TP226" s="832"/>
      <c r="TQ226" s="832"/>
      <c r="TR226" s="832"/>
      <c r="TS226" s="832"/>
      <c r="TT226" s="832"/>
      <c r="TU226" s="832"/>
      <c r="TV226" s="832"/>
      <c r="TW226" s="832"/>
      <c r="TX226" s="832"/>
      <c r="TY226" s="832"/>
      <c r="TZ226" s="832"/>
      <c r="UA226" s="832"/>
      <c r="UB226" s="832"/>
      <c r="UC226" s="832"/>
      <c r="UD226" s="832"/>
      <c r="UE226" s="832"/>
      <c r="UF226" s="832"/>
      <c r="UG226" s="832"/>
      <c r="UH226" s="832"/>
      <c r="UI226" s="832"/>
      <c r="UJ226" s="832"/>
      <c r="UK226" s="832"/>
      <c r="UL226" s="832"/>
      <c r="UM226" s="832"/>
      <c r="UN226" s="832"/>
      <c r="UO226" s="832"/>
      <c r="UP226" s="832"/>
      <c r="UQ226" s="832"/>
      <c r="UR226" s="832"/>
      <c r="US226" s="832"/>
      <c r="UT226" s="832"/>
      <c r="UU226" s="832"/>
      <c r="UV226" s="832"/>
      <c r="UW226" s="832"/>
      <c r="UX226" s="832"/>
      <c r="UY226" s="832"/>
      <c r="UZ226" s="832"/>
      <c r="VA226" s="832"/>
      <c r="VB226" s="832"/>
      <c r="VC226" s="832"/>
      <c r="VD226" s="832"/>
      <c r="VE226" s="832"/>
      <c r="VF226" s="832"/>
      <c r="VG226" s="832"/>
      <c r="VH226" s="832"/>
      <c r="VI226" s="832"/>
      <c r="VJ226" s="832"/>
      <c r="VK226" s="832"/>
      <c r="VL226" s="832"/>
      <c r="VM226" s="832"/>
      <c r="VN226" s="832"/>
      <c r="VO226" s="832"/>
      <c r="VP226" s="832"/>
      <c r="VQ226" s="832"/>
      <c r="VR226" s="832"/>
      <c r="VS226" s="832"/>
      <c r="VT226" s="832"/>
      <c r="VU226" s="832"/>
      <c r="VV226" s="832"/>
      <c r="VW226" s="832"/>
      <c r="VX226" s="832"/>
      <c r="VY226" s="832"/>
      <c r="VZ226" s="832"/>
      <c r="WA226" s="832"/>
      <c r="WB226" s="832"/>
      <c r="WC226" s="832"/>
      <c r="WD226" s="832"/>
      <c r="WE226" s="832"/>
      <c r="WF226" s="832"/>
      <c r="WG226" s="832"/>
      <c r="WH226" s="832"/>
      <c r="WI226" s="832"/>
      <c r="WJ226" s="832"/>
      <c r="WK226" s="832"/>
      <c r="WL226" s="832"/>
      <c r="WM226" s="832"/>
      <c r="WN226" s="832"/>
      <c r="WO226" s="832"/>
      <c r="WP226" s="832"/>
      <c r="WQ226" s="832"/>
      <c r="WR226" s="832"/>
      <c r="WS226" s="832"/>
      <c r="WT226" s="832"/>
      <c r="WU226" s="832"/>
      <c r="WV226" s="832"/>
      <c r="WW226" s="832"/>
      <c r="WX226" s="832"/>
      <c r="WY226" s="832"/>
      <c r="WZ226" s="832"/>
      <c r="XA226" s="832"/>
      <c r="XB226" s="832"/>
      <c r="XC226" s="832"/>
      <c r="XD226" s="832"/>
      <c r="XE226" s="832"/>
      <c r="XF226" s="832"/>
      <c r="XG226" s="832"/>
      <c r="XH226" s="832"/>
      <c r="XI226" s="832"/>
      <c r="XJ226" s="832"/>
      <c r="XK226" s="832"/>
      <c r="XL226" s="832"/>
      <c r="XM226" s="832"/>
      <c r="XN226" s="832"/>
      <c r="XO226" s="832"/>
      <c r="XP226" s="832"/>
      <c r="XQ226" s="832"/>
      <c r="XR226" s="832"/>
      <c r="XS226" s="832"/>
      <c r="XT226" s="832"/>
      <c r="XU226" s="832"/>
      <c r="XV226" s="832"/>
      <c r="XW226" s="832"/>
      <c r="XX226" s="832"/>
      <c r="XY226" s="832"/>
      <c r="XZ226" s="832"/>
      <c r="YA226" s="832"/>
      <c r="YB226" s="832"/>
      <c r="YC226" s="832"/>
      <c r="YD226" s="832"/>
      <c r="YE226" s="832"/>
      <c r="YF226" s="832"/>
      <c r="YG226" s="832"/>
      <c r="YH226" s="832"/>
      <c r="YI226" s="832"/>
      <c r="YJ226" s="832"/>
      <c r="YK226" s="832"/>
      <c r="YL226" s="832"/>
      <c r="YM226" s="832"/>
      <c r="YN226" s="832"/>
      <c r="YO226" s="832"/>
      <c r="YP226" s="832"/>
      <c r="YQ226" s="832"/>
      <c r="YR226" s="832"/>
      <c r="YS226" s="832"/>
      <c r="YT226" s="832"/>
      <c r="YU226" s="832"/>
      <c r="YV226" s="832"/>
      <c r="YW226" s="832"/>
      <c r="YX226" s="832"/>
      <c r="YY226" s="832"/>
      <c r="YZ226" s="832"/>
      <c r="ZA226" s="832"/>
      <c r="ZB226" s="832"/>
      <c r="ZC226" s="832"/>
      <c r="ZD226" s="832"/>
      <c r="ZE226" s="832"/>
      <c r="ZF226" s="832"/>
      <c r="ZG226" s="832"/>
      <c r="ZH226" s="832"/>
      <c r="ZI226" s="832"/>
      <c r="ZJ226" s="832"/>
      <c r="ZK226" s="832"/>
      <c r="ZL226" s="832"/>
      <c r="ZM226" s="832"/>
      <c r="ZN226" s="832"/>
      <c r="ZO226" s="832"/>
      <c r="ZP226" s="832"/>
      <c r="ZQ226" s="832"/>
      <c r="ZR226" s="832"/>
      <c r="ZS226" s="832"/>
      <c r="ZT226" s="832"/>
      <c r="ZU226" s="832"/>
      <c r="ZV226" s="832"/>
      <c r="ZW226" s="832"/>
      <c r="ZX226" s="832"/>
      <c r="ZY226" s="832"/>
      <c r="ZZ226" s="832"/>
      <c r="AAA226" s="832"/>
      <c r="AAB226" s="832"/>
      <c r="AAC226" s="832"/>
      <c r="AAD226" s="832"/>
      <c r="AAE226" s="832"/>
      <c r="AAF226" s="832"/>
      <c r="AAG226" s="832"/>
      <c r="AAH226" s="832"/>
      <c r="AAI226" s="832"/>
      <c r="AAJ226" s="832"/>
      <c r="AAK226" s="832"/>
      <c r="AAL226" s="832"/>
      <c r="AAM226" s="832"/>
      <c r="AAN226" s="832"/>
      <c r="AAO226" s="832"/>
      <c r="AAP226" s="832"/>
      <c r="AAQ226" s="832"/>
      <c r="AAR226" s="832"/>
      <c r="AAS226" s="832"/>
      <c r="AAT226" s="832"/>
      <c r="AAU226" s="832"/>
      <c r="AAV226" s="832"/>
      <c r="AAW226" s="832"/>
      <c r="AAX226" s="832"/>
      <c r="AAY226" s="832"/>
      <c r="AAZ226" s="832"/>
      <c r="ABA226" s="832"/>
      <c r="ABB226" s="832"/>
      <c r="ABC226" s="832"/>
      <c r="ABD226" s="832"/>
      <c r="ABE226" s="832"/>
      <c r="ABF226" s="832"/>
      <c r="ABG226" s="832"/>
      <c r="ABH226" s="832"/>
      <c r="ABI226" s="832"/>
      <c r="ABJ226" s="832"/>
      <c r="ABK226" s="832"/>
      <c r="ABL226" s="832"/>
      <c r="ABM226" s="832"/>
      <c r="ABN226" s="832"/>
      <c r="ABO226" s="832"/>
      <c r="ABP226" s="832"/>
      <c r="ABQ226" s="832"/>
      <c r="ABR226" s="832"/>
      <c r="ABS226" s="832"/>
      <c r="ABT226" s="832"/>
      <c r="ABU226" s="832"/>
      <c r="ABV226" s="832"/>
      <c r="ABW226" s="832"/>
      <c r="ABX226" s="832"/>
      <c r="ABY226" s="832"/>
      <c r="ABZ226" s="832"/>
      <c r="ACA226" s="832"/>
      <c r="ACB226" s="832"/>
      <c r="ACC226" s="832"/>
      <c r="ACD226" s="832"/>
      <c r="ACE226" s="832"/>
      <c r="ACF226" s="832"/>
      <c r="ACG226" s="832"/>
      <c r="ACH226" s="832"/>
      <c r="ACI226" s="832"/>
      <c r="ACJ226" s="832"/>
      <c r="ACK226" s="832"/>
      <c r="ACL226" s="832"/>
      <c r="ACM226" s="832"/>
      <c r="ACN226" s="832"/>
      <c r="ACO226" s="832"/>
      <c r="ACP226" s="832"/>
      <c r="ACQ226" s="832"/>
      <c r="ACR226" s="832"/>
      <c r="ACS226" s="832"/>
      <c r="ACT226" s="832"/>
      <c r="ACU226" s="832"/>
      <c r="ACV226" s="832"/>
      <c r="ACW226" s="832"/>
      <c r="ACX226" s="832"/>
      <c r="ACY226" s="832"/>
      <c r="ACZ226" s="832"/>
      <c r="ADA226" s="832"/>
      <c r="ADB226" s="832"/>
      <c r="ADC226" s="832"/>
      <c r="ADD226" s="832"/>
      <c r="ADE226" s="832"/>
      <c r="ADF226" s="832"/>
      <c r="ADG226" s="832"/>
      <c r="ADH226" s="832"/>
      <c r="ADI226" s="832"/>
      <c r="ADJ226" s="832"/>
      <c r="ADK226" s="832"/>
      <c r="ADL226" s="832"/>
      <c r="ADM226" s="832"/>
      <c r="ADN226" s="832"/>
      <c r="ADO226" s="832"/>
      <c r="ADP226" s="832"/>
      <c r="ADQ226" s="832"/>
      <c r="ADR226" s="832"/>
      <c r="ADS226" s="832"/>
      <c r="ADT226" s="832"/>
      <c r="ADU226" s="832"/>
      <c r="ADV226" s="832"/>
      <c r="ADW226" s="832"/>
      <c r="ADX226" s="832"/>
      <c r="ADY226" s="832"/>
      <c r="ADZ226" s="832"/>
      <c r="AEA226" s="832"/>
      <c r="AEB226" s="832"/>
      <c r="AEC226" s="832"/>
      <c r="AED226" s="832"/>
      <c r="AEE226" s="832"/>
      <c r="AEF226" s="832"/>
      <c r="AEG226" s="832"/>
      <c r="AEH226" s="832"/>
      <c r="AEI226" s="832"/>
      <c r="AEJ226" s="832"/>
      <c r="AEK226" s="832"/>
      <c r="AEL226" s="832"/>
      <c r="AEM226" s="832"/>
      <c r="AEN226" s="832"/>
      <c r="AEO226" s="832"/>
      <c r="AEP226" s="832"/>
      <c r="AEQ226" s="832"/>
      <c r="AER226" s="832"/>
      <c r="AES226" s="832"/>
      <c r="AET226" s="832"/>
      <c r="AEU226" s="832"/>
      <c r="AEV226" s="832"/>
      <c r="AEW226" s="832"/>
      <c r="AEX226" s="832"/>
      <c r="AEY226" s="832"/>
      <c r="AEZ226" s="832"/>
      <c r="AFA226" s="832"/>
      <c r="AFB226" s="832"/>
      <c r="AFC226" s="832"/>
      <c r="AFD226" s="832"/>
      <c r="AFE226" s="832"/>
      <c r="AFF226" s="832"/>
      <c r="AFG226" s="832"/>
      <c r="AFH226" s="832"/>
      <c r="AFI226" s="832"/>
      <c r="AFJ226" s="832"/>
      <c r="AFK226" s="832"/>
      <c r="AFL226" s="832"/>
      <c r="AFM226" s="832"/>
      <c r="AFN226" s="832"/>
      <c r="AFO226" s="832"/>
      <c r="AFP226" s="832"/>
      <c r="AFQ226" s="832"/>
      <c r="AFR226" s="832"/>
      <c r="AFS226" s="832"/>
      <c r="AFT226" s="832"/>
      <c r="AFU226" s="832"/>
      <c r="AFV226" s="832"/>
      <c r="AFW226" s="832"/>
      <c r="AFX226" s="832"/>
      <c r="AFY226" s="832"/>
      <c r="AFZ226" s="832"/>
      <c r="AGA226" s="832"/>
      <c r="AGB226" s="832"/>
      <c r="AGC226" s="832"/>
      <c r="AGD226" s="832"/>
      <c r="AGE226" s="832"/>
      <c r="AGF226" s="832"/>
      <c r="AGG226" s="832"/>
      <c r="AGH226" s="832"/>
      <c r="AGI226" s="832"/>
      <c r="AGJ226" s="832"/>
      <c r="AGK226" s="832"/>
      <c r="AGL226" s="832"/>
      <c r="AGM226" s="832"/>
      <c r="AGN226" s="832"/>
      <c r="AGO226" s="832"/>
      <c r="AGP226" s="832"/>
      <c r="AGQ226" s="832"/>
      <c r="AGR226" s="832"/>
      <c r="AGS226" s="832"/>
      <c r="AGT226" s="832"/>
      <c r="AGU226" s="832"/>
      <c r="AGV226" s="832"/>
      <c r="AGW226" s="832"/>
      <c r="AGX226" s="832"/>
      <c r="AGY226" s="832"/>
      <c r="AGZ226" s="832"/>
      <c r="AHA226" s="832"/>
      <c r="AHB226" s="832"/>
      <c r="AHC226" s="832"/>
      <c r="AHD226" s="832"/>
      <c r="AHE226" s="832"/>
      <c r="AHF226" s="832"/>
      <c r="AHG226" s="832"/>
      <c r="AHH226" s="832"/>
      <c r="AHI226" s="832"/>
      <c r="AHJ226" s="832"/>
      <c r="AHK226" s="832"/>
      <c r="AHL226" s="832"/>
      <c r="AHM226" s="832"/>
      <c r="AHN226" s="832"/>
      <c r="AHO226" s="832"/>
      <c r="AHP226" s="832"/>
      <c r="AHQ226" s="832"/>
      <c r="AHR226" s="832"/>
      <c r="AHS226" s="832"/>
      <c r="AHT226" s="832"/>
      <c r="AHU226" s="832"/>
      <c r="AHV226" s="832"/>
      <c r="AHW226" s="832"/>
      <c r="AHX226" s="832"/>
      <c r="AHY226" s="832"/>
      <c r="AHZ226" s="832"/>
      <c r="AIA226" s="832"/>
      <c r="AIB226" s="832"/>
      <c r="AIC226" s="832"/>
      <c r="AID226" s="832"/>
      <c r="AIE226" s="832"/>
      <c r="AIF226" s="832"/>
      <c r="AIG226" s="832"/>
      <c r="AIH226" s="832"/>
      <c r="AII226" s="832"/>
      <c r="AIJ226" s="832"/>
      <c r="AIK226" s="832"/>
      <c r="AIL226" s="832"/>
      <c r="AIM226" s="832"/>
      <c r="AIN226" s="832"/>
      <c r="AIO226" s="832"/>
      <c r="AIP226" s="832"/>
      <c r="AIQ226" s="832"/>
      <c r="AIR226" s="832"/>
      <c r="AIS226" s="832"/>
      <c r="AIT226" s="832"/>
      <c r="AIU226" s="832"/>
      <c r="AIV226" s="832"/>
      <c r="AIW226" s="832"/>
      <c r="AIX226" s="832"/>
      <c r="AIY226" s="832"/>
      <c r="AIZ226" s="832"/>
      <c r="AJA226" s="832"/>
      <c r="AJB226" s="832"/>
      <c r="AJC226" s="832"/>
      <c r="AJD226" s="832"/>
      <c r="AJE226" s="832"/>
      <c r="AJF226" s="832"/>
      <c r="AJG226" s="832"/>
      <c r="AJH226" s="832"/>
      <c r="AJI226" s="832"/>
      <c r="AJJ226" s="832"/>
      <c r="AJK226" s="832"/>
      <c r="AJL226" s="832"/>
      <c r="AJM226" s="832"/>
      <c r="AJN226" s="832"/>
      <c r="AJO226" s="832"/>
      <c r="AJP226" s="832"/>
      <c r="AJQ226" s="832"/>
      <c r="AJR226" s="832"/>
      <c r="AJS226" s="832"/>
      <c r="AJT226" s="832"/>
      <c r="AJU226" s="832"/>
      <c r="AJV226" s="832"/>
      <c r="AJW226" s="832"/>
      <c r="AJX226" s="832"/>
      <c r="AJY226" s="832"/>
      <c r="AJZ226" s="832"/>
      <c r="AKA226" s="832"/>
      <c r="AKB226" s="832"/>
      <c r="AKC226" s="832"/>
      <c r="AKD226" s="832"/>
      <c r="AKE226" s="832"/>
      <c r="AKF226" s="832"/>
      <c r="AKG226" s="832"/>
      <c r="AKH226" s="832"/>
      <c r="AKI226" s="832"/>
      <c r="AKJ226" s="832"/>
      <c r="AKK226" s="832"/>
      <c r="AKL226" s="832"/>
      <c r="AKM226" s="832"/>
      <c r="AKN226" s="832"/>
      <c r="AKO226" s="832"/>
      <c r="AKP226" s="832"/>
      <c r="AKQ226" s="832"/>
      <c r="AKR226" s="832"/>
      <c r="AKS226" s="832"/>
      <c r="AKT226" s="832"/>
      <c r="AKU226" s="832"/>
      <c r="AKV226" s="832"/>
      <c r="AKW226" s="832"/>
      <c r="AKX226" s="832"/>
      <c r="AKY226" s="832"/>
      <c r="AKZ226" s="832"/>
      <c r="ALA226" s="832"/>
      <c r="ALB226" s="832"/>
      <c r="ALC226" s="832"/>
      <c r="ALD226" s="832"/>
      <c r="ALE226" s="832"/>
      <c r="ALF226" s="832"/>
      <c r="ALG226" s="832"/>
      <c r="ALH226" s="832"/>
      <c r="ALI226" s="832"/>
      <c r="ALJ226" s="832"/>
      <c r="ALK226" s="832"/>
      <c r="ALL226" s="832"/>
      <c r="ALM226" s="832"/>
      <c r="ALN226" s="832"/>
      <c r="ALO226" s="832"/>
      <c r="ALP226" s="832"/>
      <c r="ALQ226" s="832"/>
      <c r="ALR226" s="832"/>
      <c r="ALS226" s="832"/>
      <c r="ALT226" s="832"/>
      <c r="ALU226" s="832"/>
      <c r="ALV226" s="832"/>
      <c r="ALW226" s="832"/>
      <c r="ALX226" s="832"/>
      <c r="ALY226" s="832"/>
      <c r="ALZ226" s="832"/>
      <c r="AMA226" s="832"/>
      <c r="AMB226" s="832"/>
      <c r="AMC226" s="832"/>
      <c r="AMD226" s="832"/>
      <c r="AME226" s="832"/>
      <c r="AMF226" s="832"/>
      <c r="AMG226" s="832"/>
      <c r="AMH226" s="832"/>
      <c r="AMI226" s="832"/>
      <c r="AMJ226" s="832"/>
      <c r="AMK226" s="832"/>
      <c r="AML226" s="832"/>
    </row>
    <row r="227" spans="1:1026" ht="45.95" customHeight="1" outlineLevel="1">
      <c r="A227" s="844"/>
      <c r="B227" s="444" t="s">
        <v>570</v>
      </c>
      <c r="C227" s="879" t="s">
        <v>571</v>
      </c>
      <c r="D227" s="450" t="s">
        <v>572</v>
      </c>
      <c r="E227" s="444" t="s">
        <v>60</v>
      </c>
      <c r="F227" s="987">
        <f>Plan1!D178</f>
        <v>3</v>
      </c>
      <c r="G227" s="893">
        <f t="shared" si="53"/>
        <v>1041.56</v>
      </c>
      <c r="H227" s="883">
        <f t="shared" si="54"/>
        <v>3124.68</v>
      </c>
      <c r="I227" s="844"/>
      <c r="J227" s="841">
        <v>822.65</v>
      </c>
      <c r="K227" s="842">
        <f t="shared" si="55"/>
        <v>1041.56</v>
      </c>
    </row>
    <row r="228" spans="1:1026" ht="35.1" customHeight="1" outlineLevel="1">
      <c r="A228" s="844"/>
      <c r="B228" s="444" t="s">
        <v>573</v>
      </c>
      <c r="C228" s="879" t="s">
        <v>574</v>
      </c>
      <c r="D228" s="443" t="s">
        <v>575</v>
      </c>
      <c r="E228" s="444" t="s">
        <v>60</v>
      </c>
      <c r="F228" s="987">
        <f>Plan1!D179</f>
        <v>4</v>
      </c>
      <c r="G228" s="893">
        <f t="shared" ref="G228:G240" si="56">K228</f>
        <v>1651.16</v>
      </c>
      <c r="H228" s="883">
        <f t="shared" ref="H228:H240" si="57">F228*G228</f>
        <v>6604.64</v>
      </c>
      <c r="I228" s="844"/>
      <c r="J228" s="841">
        <v>1304.1300000000001</v>
      </c>
      <c r="K228" s="842">
        <f t="shared" si="55"/>
        <v>1651.16</v>
      </c>
    </row>
    <row r="229" spans="1:1026" ht="35.1" customHeight="1" outlineLevel="1">
      <c r="A229" s="844"/>
      <c r="B229" s="444" t="s">
        <v>576</v>
      </c>
      <c r="C229" s="879" t="s">
        <v>577</v>
      </c>
      <c r="D229" s="450" t="s">
        <v>578</v>
      </c>
      <c r="E229" s="444" t="s">
        <v>60</v>
      </c>
      <c r="F229" s="987">
        <f>Plan1!D180</f>
        <v>1</v>
      </c>
      <c r="G229" s="893">
        <f t="shared" si="56"/>
        <v>782.03</v>
      </c>
      <c r="H229" s="883">
        <f t="shared" si="57"/>
        <v>782.03</v>
      </c>
      <c r="I229" s="844"/>
      <c r="J229" s="841">
        <v>617.66999999999996</v>
      </c>
      <c r="K229" s="842">
        <f t="shared" si="55"/>
        <v>782.03</v>
      </c>
    </row>
    <row r="230" spans="1:1026" ht="35.1" customHeight="1" outlineLevel="1">
      <c r="A230" s="844"/>
      <c r="B230" s="444" t="s">
        <v>579</v>
      </c>
      <c r="C230" s="879" t="s">
        <v>580</v>
      </c>
      <c r="D230" s="443" t="s">
        <v>581</v>
      </c>
      <c r="E230" s="444" t="s">
        <v>60</v>
      </c>
      <c r="F230" s="987">
        <f>Plan1!D181</f>
        <v>13</v>
      </c>
      <c r="G230" s="893">
        <f t="shared" si="56"/>
        <v>148.35</v>
      </c>
      <c r="H230" s="883">
        <f t="shared" si="57"/>
        <v>1928.55</v>
      </c>
      <c r="I230" s="844"/>
      <c r="J230" s="841">
        <v>117.17</v>
      </c>
      <c r="K230" s="842">
        <f t="shared" si="55"/>
        <v>148.35</v>
      </c>
    </row>
    <row r="231" spans="1:1026" ht="35.1" customHeight="1" outlineLevel="1">
      <c r="A231" s="844"/>
      <c r="B231" s="444" t="s">
        <v>582</v>
      </c>
      <c r="C231" s="879" t="s">
        <v>583</v>
      </c>
      <c r="D231" s="443" t="s">
        <v>584</v>
      </c>
      <c r="E231" s="444" t="s">
        <v>60</v>
      </c>
      <c r="F231" s="987">
        <f>Plan1!D182</f>
        <v>6</v>
      </c>
      <c r="G231" s="893">
        <f t="shared" si="56"/>
        <v>270.72000000000003</v>
      </c>
      <c r="H231" s="883">
        <f t="shared" si="57"/>
        <v>1624.3200000000002</v>
      </c>
      <c r="I231" s="844"/>
      <c r="J231" s="841">
        <v>213.82</v>
      </c>
      <c r="K231" s="842">
        <f t="shared" si="55"/>
        <v>270.72000000000003</v>
      </c>
    </row>
    <row r="232" spans="1:1026" ht="35.1" customHeight="1" outlineLevel="1">
      <c r="A232" s="844"/>
      <c r="B232" s="444" t="s">
        <v>585</v>
      </c>
      <c r="C232" s="879" t="s">
        <v>586</v>
      </c>
      <c r="D232" s="443" t="s">
        <v>587</v>
      </c>
      <c r="E232" s="444" t="s">
        <v>60</v>
      </c>
      <c r="F232" s="987">
        <f>Plan1!D183</f>
        <v>8</v>
      </c>
      <c r="G232" s="893">
        <f t="shared" si="56"/>
        <v>162.61000000000001</v>
      </c>
      <c r="H232" s="883">
        <f t="shared" si="57"/>
        <v>1300.8800000000001</v>
      </c>
      <c r="I232" s="844"/>
      <c r="J232" s="841">
        <v>128.43</v>
      </c>
      <c r="K232" s="842">
        <f t="shared" si="55"/>
        <v>162.61000000000001</v>
      </c>
    </row>
    <row r="233" spans="1:1026" ht="35.1" customHeight="1" outlineLevel="1">
      <c r="A233" s="844"/>
      <c r="B233" s="444" t="s">
        <v>588</v>
      </c>
      <c r="C233" s="879" t="s">
        <v>589</v>
      </c>
      <c r="D233" s="443" t="s">
        <v>590</v>
      </c>
      <c r="E233" s="444" t="s">
        <v>60</v>
      </c>
      <c r="F233" s="987">
        <f>Plan1!D184</f>
        <v>25</v>
      </c>
      <c r="G233" s="893">
        <f t="shared" si="56"/>
        <v>144.88</v>
      </c>
      <c r="H233" s="883">
        <f t="shared" si="57"/>
        <v>3622</v>
      </c>
      <c r="I233" s="844"/>
      <c r="J233" s="841">
        <v>114.43</v>
      </c>
      <c r="K233" s="842">
        <f t="shared" si="55"/>
        <v>144.88</v>
      </c>
    </row>
    <row r="234" spans="1:1026" ht="35.1" customHeight="1" outlineLevel="1">
      <c r="A234" s="844"/>
      <c r="B234" s="444" t="s">
        <v>591</v>
      </c>
      <c r="C234" s="879" t="s">
        <v>592</v>
      </c>
      <c r="D234" s="443" t="s">
        <v>593</v>
      </c>
      <c r="E234" s="444" t="s">
        <v>60</v>
      </c>
      <c r="F234" s="987">
        <f>Plan1!D185</f>
        <v>4</v>
      </c>
      <c r="G234" s="893">
        <f t="shared" si="56"/>
        <v>115.59</v>
      </c>
      <c r="H234" s="883">
        <f t="shared" si="57"/>
        <v>462.36</v>
      </c>
      <c r="I234" s="844"/>
      <c r="J234" s="841">
        <v>91.3</v>
      </c>
      <c r="K234" s="842">
        <f t="shared" si="55"/>
        <v>115.59</v>
      </c>
    </row>
    <row r="235" spans="1:1026" s="388" customFormat="1" ht="35.1" customHeight="1" outlineLevel="1">
      <c r="A235" s="885"/>
      <c r="B235" s="444" t="s">
        <v>594</v>
      </c>
      <c r="C235" s="886" t="s">
        <v>595</v>
      </c>
      <c r="D235" s="448" t="s">
        <v>596</v>
      </c>
      <c r="E235" s="449" t="s">
        <v>60</v>
      </c>
      <c r="F235" s="992">
        <f>Plan1!D186</f>
        <v>2</v>
      </c>
      <c r="G235" s="925">
        <f t="shared" si="56"/>
        <v>150.41</v>
      </c>
      <c r="H235" s="889">
        <f t="shared" si="57"/>
        <v>300.82</v>
      </c>
      <c r="I235" s="885"/>
      <c r="J235" s="915">
        <v>118.8</v>
      </c>
      <c r="K235" s="916">
        <f t="shared" si="55"/>
        <v>150.41</v>
      </c>
      <c r="L235" s="832"/>
      <c r="M235" s="832"/>
      <c r="N235" s="832"/>
      <c r="O235" s="832"/>
      <c r="P235" s="832"/>
      <c r="Q235" s="832"/>
      <c r="R235" s="832"/>
      <c r="S235" s="832"/>
      <c r="T235" s="832"/>
      <c r="U235" s="832"/>
      <c r="V235" s="832"/>
      <c r="W235" s="832"/>
      <c r="X235" s="832"/>
      <c r="Y235" s="832"/>
      <c r="Z235" s="832"/>
      <c r="AA235" s="832"/>
      <c r="AB235" s="832"/>
      <c r="AC235" s="832"/>
      <c r="AD235" s="832"/>
      <c r="AE235" s="832"/>
      <c r="AF235" s="832"/>
      <c r="AG235" s="832"/>
      <c r="AH235" s="832"/>
      <c r="AI235" s="832"/>
      <c r="AJ235" s="832"/>
      <c r="AK235" s="832"/>
      <c r="AL235" s="832"/>
      <c r="AM235" s="832"/>
      <c r="AN235" s="832"/>
      <c r="AO235" s="832"/>
      <c r="AP235" s="832"/>
      <c r="AQ235" s="832"/>
      <c r="AR235" s="832"/>
      <c r="AS235" s="832"/>
      <c r="AT235" s="832"/>
      <c r="AU235" s="832"/>
      <c r="AV235" s="832"/>
      <c r="AW235" s="832"/>
      <c r="AX235" s="832"/>
      <c r="AY235" s="832"/>
      <c r="AZ235" s="832"/>
      <c r="BA235" s="832"/>
      <c r="BB235" s="832"/>
      <c r="BC235" s="832"/>
      <c r="BD235" s="832"/>
      <c r="BE235" s="832"/>
      <c r="BF235" s="832"/>
      <c r="BG235" s="832"/>
      <c r="BH235" s="832"/>
      <c r="BI235" s="832"/>
      <c r="BJ235" s="832"/>
      <c r="BK235" s="832"/>
      <c r="BL235" s="832"/>
      <c r="BM235" s="832"/>
      <c r="BN235" s="832"/>
      <c r="BO235" s="832"/>
      <c r="BP235" s="832"/>
      <c r="BQ235" s="832"/>
      <c r="BR235" s="832"/>
      <c r="BS235" s="832"/>
      <c r="BT235" s="832"/>
      <c r="BU235" s="832"/>
      <c r="BV235" s="832"/>
      <c r="BW235" s="832"/>
      <c r="BX235" s="832"/>
      <c r="BY235" s="832"/>
      <c r="BZ235" s="832"/>
      <c r="CA235" s="832"/>
      <c r="CB235" s="832"/>
      <c r="CC235" s="832"/>
      <c r="CD235" s="832"/>
      <c r="CE235" s="832"/>
      <c r="CF235" s="832"/>
      <c r="CG235" s="832"/>
      <c r="CH235" s="832"/>
      <c r="CI235" s="832"/>
      <c r="CJ235" s="832"/>
      <c r="CK235" s="832"/>
      <c r="CL235" s="832"/>
      <c r="CM235" s="832"/>
      <c r="CN235" s="832"/>
      <c r="CO235" s="832"/>
      <c r="CP235" s="832"/>
      <c r="CQ235" s="832"/>
      <c r="CR235" s="832"/>
      <c r="CS235" s="832"/>
      <c r="CT235" s="832"/>
      <c r="CU235" s="832"/>
      <c r="CV235" s="832"/>
      <c r="CW235" s="832"/>
      <c r="CX235" s="832"/>
      <c r="CY235" s="832"/>
      <c r="CZ235" s="832"/>
      <c r="DA235" s="832"/>
      <c r="DB235" s="832"/>
      <c r="DC235" s="832"/>
      <c r="DD235" s="832"/>
      <c r="DE235" s="832"/>
      <c r="DF235" s="832"/>
      <c r="DG235" s="832"/>
      <c r="DH235" s="832"/>
      <c r="DI235" s="832"/>
      <c r="DJ235" s="832"/>
      <c r="DK235" s="832"/>
      <c r="DL235" s="832"/>
      <c r="DM235" s="832"/>
      <c r="DN235" s="832"/>
      <c r="DO235" s="832"/>
      <c r="DP235" s="832"/>
      <c r="DQ235" s="832"/>
      <c r="DR235" s="832"/>
      <c r="DS235" s="832"/>
      <c r="DT235" s="832"/>
      <c r="DU235" s="832"/>
      <c r="DV235" s="832"/>
      <c r="DW235" s="832"/>
      <c r="DX235" s="832"/>
      <c r="DY235" s="832"/>
      <c r="DZ235" s="832"/>
      <c r="EA235" s="832"/>
      <c r="EB235" s="832"/>
      <c r="EC235" s="832"/>
      <c r="ED235" s="832"/>
      <c r="EE235" s="832"/>
      <c r="EF235" s="832"/>
      <c r="EG235" s="832"/>
      <c r="EH235" s="832"/>
      <c r="EI235" s="832"/>
      <c r="EJ235" s="832"/>
      <c r="EK235" s="832"/>
      <c r="EL235" s="832"/>
      <c r="EM235" s="832"/>
      <c r="EN235" s="832"/>
      <c r="EO235" s="832"/>
      <c r="EP235" s="832"/>
      <c r="EQ235" s="832"/>
      <c r="ER235" s="832"/>
      <c r="ES235" s="832"/>
      <c r="ET235" s="832"/>
      <c r="EU235" s="832"/>
      <c r="EV235" s="832"/>
      <c r="EW235" s="832"/>
      <c r="EX235" s="832"/>
      <c r="EY235" s="832"/>
      <c r="EZ235" s="832"/>
      <c r="FA235" s="832"/>
      <c r="FB235" s="832"/>
      <c r="FC235" s="832"/>
      <c r="FD235" s="832"/>
      <c r="FE235" s="832"/>
      <c r="FF235" s="832"/>
      <c r="FG235" s="832"/>
      <c r="FH235" s="832"/>
      <c r="FI235" s="832"/>
      <c r="FJ235" s="832"/>
      <c r="FK235" s="832"/>
      <c r="FL235" s="832"/>
      <c r="FM235" s="832"/>
      <c r="FN235" s="832"/>
      <c r="FO235" s="832"/>
      <c r="FP235" s="832"/>
      <c r="FQ235" s="832"/>
      <c r="FR235" s="832"/>
      <c r="FS235" s="832"/>
      <c r="FT235" s="832"/>
      <c r="FU235" s="832"/>
      <c r="FV235" s="832"/>
      <c r="FW235" s="832"/>
      <c r="FX235" s="832"/>
      <c r="FY235" s="832"/>
      <c r="FZ235" s="832"/>
      <c r="GA235" s="832"/>
      <c r="GB235" s="832"/>
      <c r="GC235" s="832"/>
      <c r="GD235" s="832"/>
      <c r="GE235" s="832"/>
      <c r="GF235" s="832"/>
      <c r="GG235" s="832"/>
      <c r="GH235" s="832"/>
      <c r="GI235" s="832"/>
      <c r="GJ235" s="832"/>
      <c r="GK235" s="832"/>
      <c r="GL235" s="832"/>
      <c r="GM235" s="832"/>
      <c r="GN235" s="832"/>
      <c r="GO235" s="832"/>
      <c r="GP235" s="832"/>
      <c r="GQ235" s="832"/>
      <c r="GR235" s="832"/>
      <c r="GS235" s="832"/>
      <c r="GT235" s="832"/>
      <c r="GU235" s="832"/>
      <c r="GV235" s="832"/>
      <c r="GW235" s="832"/>
      <c r="GX235" s="832"/>
      <c r="GY235" s="832"/>
      <c r="GZ235" s="832"/>
      <c r="HA235" s="832"/>
      <c r="HB235" s="832"/>
      <c r="HC235" s="832"/>
      <c r="HD235" s="832"/>
      <c r="HE235" s="832"/>
      <c r="HF235" s="832"/>
      <c r="HG235" s="832"/>
      <c r="HH235" s="832"/>
      <c r="HI235" s="832"/>
      <c r="HJ235" s="832"/>
      <c r="HK235" s="832"/>
      <c r="HL235" s="832"/>
      <c r="HM235" s="832"/>
      <c r="HN235" s="832"/>
      <c r="HO235" s="832"/>
      <c r="HP235" s="832"/>
      <c r="HQ235" s="832"/>
      <c r="HR235" s="832"/>
      <c r="HS235" s="832"/>
      <c r="HT235" s="832"/>
      <c r="HU235" s="832"/>
      <c r="HV235" s="832"/>
      <c r="HW235" s="832"/>
      <c r="HX235" s="832"/>
      <c r="HY235" s="832"/>
      <c r="HZ235" s="832"/>
      <c r="IA235" s="832"/>
      <c r="IB235" s="832"/>
      <c r="IC235" s="832"/>
      <c r="ID235" s="832"/>
      <c r="IE235" s="832"/>
      <c r="IF235" s="832"/>
      <c r="IG235" s="832"/>
      <c r="IH235" s="832"/>
      <c r="II235" s="832"/>
      <c r="IJ235" s="832"/>
      <c r="IK235" s="832"/>
      <c r="IL235" s="832"/>
      <c r="IM235" s="832"/>
      <c r="IN235" s="832"/>
      <c r="IO235" s="832"/>
      <c r="IP235" s="832"/>
      <c r="IQ235" s="832"/>
      <c r="IR235" s="832"/>
      <c r="IS235" s="832"/>
      <c r="IT235" s="832"/>
      <c r="IU235" s="832"/>
      <c r="IV235" s="832"/>
      <c r="IW235" s="832"/>
      <c r="IX235" s="832"/>
      <c r="IY235" s="832"/>
      <c r="IZ235" s="832"/>
      <c r="JA235" s="832"/>
      <c r="JB235" s="832"/>
      <c r="JC235" s="832"/>
      <c r="JD235" s="832"/>
      <c r="JE235" s="832"/>
      <c r="JF235" s="832"/>
      <c r="JG235" s="832"/>
      <c r="JH235" s="832"/>
      <c r="JI235" s="832"/>
      <c r="JJ235" s="832"/>
      <c r="JK235" s="832"/>
      <c r="JL235" s="832"/>
      <c r="JM235" s="832"/>
      <c r="JN235" s="832"/>
      <c r="JO235" s="832"/>
      <c r="JP235" s="832"/>
      <c r="JQ235" s="832"/>
      <c r="JR235" s="832"/>
      <c r="JS235" s="832"/>
      <c r="JT235" s="832"/>
      <c r="JU235" s="832"/>
      <c r="JV235" s="832"/>
      <c r="JW235" s="832"/>
      <c r="JX235" s="832"/>
      <c r="JY235" s="832"/>
      <c r="JZ235" s="832"/>
      <c r="KA235" s="832"/>
      <c r="KB235" s="832"/>
      <c r="KC235" s="832"/>
      <c r="KD235" s="832"/>
      <c r="KE235" s="832"/>
      <c r="KF235" s="832"/>
      <c r="KG235" s="832"/>
      <c r="KH235" s="832"/>
      <c r="KI235" s="832"/>
      <c r="KJ235" s="832"/>
      <c r="KK235" s="832"/>
      <c r="KL235" s="832"/>
      <c r="KM235" s="832"/>
      <c r="KN235" s="832"/>
      <c r="KO235" s="832"/>
      <c r="KP235" s="832"/>
      <c r="KQ235" s="832"/>
      <c r="KR235" s="832"/>
      <c r="KS235" s="832"/>
      <c r="KT235" s="832"/>
      <c r="KU235" s="832"/>
      <c r="KV235" s="832"/>
      <c r="KW235" s="832"/>
      <c r="KX235" s="832"/>
      <c r="KY235" s="832"/>
      <c r="KZ235" s="832"/>
      <c r="LA235" s="832"/>
      <c r="LB235" s="832"/>
      <c r="LC235" s="832"/>
      <c r="LD235" s="832"/>
      <c r="LE235" s="832"/>
      <c r="LF235" s="832"/>
      <c r="LG235" s="832"/>
      <c r="LH235" s="832"/>
      <c r="LI235" s="832"/>
      <c r="LJ235" s="832"/>
      <c r="LK235" s="832"/>
      <c r="LL235" s="832"/>
      <c r="LM235" s="832"/>
      <c r="LN235" s="832"/>
      <c r="LO235" s="832"/>
      <c r="LP235" s="832"/>
      <c r="LQ235" s="832"/>
      <c r="LR235" s="832"/>
      <c r="LS235" s="832"/>
      <c r="LT235" s="832"/>
      <c r="LU235" s="832"/>
      <c r="LV235" s="832"/>
      <c r="LW235" s="832"/>
      <c r="LX235" s="832"/>
      <c r="LY235" s="832"/>
      <c r="LZ235" s="832"/>
      <c r="MA235" s="832"/>
      <c r="MB235" s="832"/>
      <c r="MC235" s="832"/>
      <c r="MD235" s="832"/>
      <c r="ME235" s="832"/>
      <c r="MF235" s="832"/>
      <c r="MG235" s="832"/>
      <c r="MH235" s="832"/>
      <c r="MI235" s="832"/>
      <c r="MJ235" s="832"/>
      <c r="MK235" s="832"/>
      <c r="ML235" s="832"/>
      <c r="MM235" s="832"/>
      <c r="MN235" s="832"/>
      <c r="MO235" s="832"/>
      <c r="MP235" s="832"/>
      <c r="MQ235" s="832"/>
      <c r="MR235" s="832"/>
      <c r="MS235" s="832"/>
      <c r="MT235" s="832"/>
      <c r="MU235" s="832"/>
      <c r="MV235" s="832"/>
      <c r="MW235" s="832"/>
      <c r="MX235" s="832"/>
      <c r="MY235" s="832"/>
      <c r="MZ235" s="832"/>
      <c r="NA235" s="832"/>
      <c r="NB235" s="832"/>
      <c r="NC235" s="832"/>
      <c r="ND235" s="832"/>
      <c r="NE235" s="832"/>
      <c r="NF235" s="832"/>
      <c r="NG235" s="832"/>
      <c r="NH235" s="832"/>
      <c r="NI235" s="832"/>
      <c r="NJ235" s="832"/>
      <c r="NK235" s="832"/>
      <c r="NL235" s="832"/>
      <c r="NM235" s="832"/>
      <c r="NN235" s="832"/>
      <c r="NO235" s="832"/>
      <c r="NP235" s="832"/>
      <c r="NQ235" s="832"/>
      <c r="NR235" s="832"/>
      <c r="NS235" s="832"/>
      <c r="NT235" s="832"/>
      <c r="NU235" s="832"/>
      <c r="NV235" s="832"/>
      <c r="NW235" s="832"/>
      <c r="NX235" s="832"/>
      <c r="NY235" s="832"/>
      <c r="NZ235" s="832"/>
      <c r="OA235" s="832"/>
      <c r="OB235" s="832"/>
      <c r="OC235" s="832"/>
      <c r="OD235" s="832"/>
      <c r="OE235" s="832"/>
      <c r="OF235" s="832"/>
      <c r="OG235" s="832"/>
      <c r="OH235" s="832"/>
      <c r="OI235" s="832"/>
      <c r="OJ235" s="832"/>
      <c r="OK235" s="832"/>
      <c r="OL235" s="832"/>
      <c r="OM235" s="832"/>
      <c r="ON235" s="832"/>
      <c r="OO235" s="832"/>
      <c r="OP235" s="832"/>
      <c r="OQ235" s="832"/>
      <c r="OR235" s="832"/>
      <c r="OS235" s="832"/>
      <c r="OT235" s="832"/>
      <c r="OU235" s="832"/>
      <c r="OV235" s="832"/>
      <c r="OW235" s="832"/>
      <c r="OX235" s="832"/>
      <c r="OY235" s="832"/>
      <c r="OZ235" s="832"/>
      <c r="PA235" s="832"/>
      <c r="PB235" s="832"/>
      <c r="PC235" s="832"/>
      <c r="PD235" s="832"/>
      <c r="PE235" s="832"/>
      <c r="PF235" s="832"/>
      <c r="PG235" s="832"/>
      <c r="PH235" s="832"/>
      <c r="PI235" s="832"/>
      <c r="PJ235" s="832"/>
      <c r="PK235" s="832"/>
      <c r="PL235" s="832"/>
      <c r="PM235" s="832"/>
      <c r="PN235" s="832"/>
      <c r="PO235" s="832"/>
      <c r="PP235" s="832"/>
      <c r="PQ235" s="832"/>
      <c r="PR235" s="832"/>
      <c r="PS235" s="832"/>
      <c r="PT235" s="832"/>
      <c r="PU235" s="832"/>
      <c r="PV235" s="832"/>
      <c r="PW235" s="832"/>
      <c r="PX235" s="832"/>
      <c r="PY235" s="832"/>
      <c r="PZ235" s="832"/>
      <c r="QA235" s="832"/>
      <c r="QB235" s="832"/>
      <c r="QC235" s="832"/>
      <c r="QD235" s="832"/>
      <c r="QE235" s="832"/>
      <c r="QF235" s="832"/>
      <c r="QG235" s="832"/>
      <c r="QH235" s="832"/>
      <c r="QI235" s="832"/>
      <c r="QJ235" s="832"/>
      <c r="QK235" s="832"/>
      <c r="QL235" s="832"/>
      <c r="QM235" s="832"/>
      <c r="QN235" s="832"/>
      <c r="QO235" s="832"/>
      <c r="QP235" s="832"/>
      <c r="QQ235" s="832"/>
      <c r="QR235" s="832"/>
      <c r="QS235" s="832"/>
      <c r="QT235" s="832"/>
      <c r="QU235" s="832"/>
      <c r="QV235" s="832"/>
      <c r="QW235" s="832"/>
      <c r="QX235" s="832"/>
      <c r="QY235" s="832"/>
      <c r="QZ235" s="832"/>
      <c r="RA235" s="832"/>
      <c r="RB235" s="832"/>
      <c r="RC235" s="832"/>
      <c r="RD235" s="832"/>
      <c r="RE235" s="832"/>
      <c r="RF235" s="832"/>
      <c r="RG235" s="832"/>
      <c r="RH235" s="832"/>
      <c r="RI235" s="832"/>
      <c r="RJ235" s="832"/>
      <c r="RK235" s="832"/>
      <c r="RL235" s="832"/>
      <c r="RM235" s="832"/>
      <c r="RN235" s="832"/>
      <c r="RO235" s="832"/>
      <c r="RP235" s="832"/>
      <c r="RQ235" s="832"/>
      <c r="RR235" s="832"/>
      <c r="RS235" s="832"/>
      <c r="RT235" s="832"/>
      <c r="RU235" s="832"/>
      <c r="RV235" s="832"/>
      <c r="RW235" s="832"/>
      <c r="RX235" s="832"/>
      <c r="RY235" s="832"/>
      <c r="RZ235" s="832"/>
      <c r="SA235" s="832"/>
      <c r="SB235" s="832"/>
      <c r="SC235" s="832"/>
      <c r="SD235" s="832"/>
      <c r="SE235" s="832"/>
      <c r="SF235" s="832"/>
      <c r="SG235" s="832"/>
      <c r="SH235" s="832"/>
      <c r="SI235" s="832"/>
      <c r="SJ235" s="832"/>
      <c r="SK235" s="832"/>
      <c r="SL235" s="832"/>
      <c r="SM235" s="832"/>
      <c r="SN235" s="832"/>
      <c r="SO235" s="832"/>
      <c r="SP235" s="832"/>
      <c r="SQ235" s="832"/>
      <c r="SR235" s="832"/>
      <c r="SS235" s="832"/>
      <c r="ST235" s="832"/>
      <c r="SU235" s="832"/>
      <c r="SV235" s="832"/>
      <c r="SW235" s="832"/>
      <c r="SX235" s="832"/>
      <c r="SY235" s="832"/>
      <c r="SZ235" s="832"/>
      <c r="TA235" s="832"/>
      <c r="TB235" s="832"/>
      <c r="TC235" s="832"/>
      <c r="TD235" s="832"/>
      <c r="TE235" s="832"/>
      <c r="TF235" s="832"/>
      <c r="TG235" s="832"/>
      <c r="TH235" s="832"/>
      <c r="TI235" s="832"/>
      <c r="TJ235" s="832"/>
      <c r="TK235" s="832"/>
      <c r="TL235" s="832"/>
      <c r="TM235" s="832"/>
      <c r="TN235" s="832"/>
      <c r="TO235" s="832"/>
      <c r="TP235" s="832"/>
      <c r="TQ235" s="832"/>
      <c r="TR235" s="832"/>
      <c r="TS235" s="832"/>
      <c r="TT235" s="832"/>
      <c r="TU235" s="832"/>
      <c r="TV235" s="832"/>
      <c r="TW235" s="832"/>
      <c r="TX235" s="832"/>
      <c r="TY235" s="832"/>
      <c r="TZ235" s="832"/>
      <c r="UA235" s="832"/>
      <c r="UB235" s="832"/>
      <c r="UC235" s="832"/>
      <c r="UD235" s="832"/>
      <c r="UE235" s="832"/>
      <c r="UF235" s="832"/>
      <c r="UG235" s="832"/>
      <c r="UH235" s="832"/>
      <c r="UI235" s="832"/>
      <c r="UJ235" s="832"/>
      <c r="UK235" s="832"/>
      <c r="UL235" s="832"/>
      <c r="UM235" s="832"/>
      <c r="UN235" s="832"/>
      <c r="UO235" s="832"/>
      <c r="UP235" s="832"/>
      <c r="UQ235" s="832"/>
      <c r="UR235" s="832"/>
      <c r="US235" s="832"/>
      <c r="UT235" s="832"/>
      <c r="UU235" s="832"/>
      <c r="UV235" s="832"/>
      <c r="UW235" s="832"/>
      <c r="UX235" s="832"/>
      <c r="UY235" s="832"/>
      <c r="UZ235" s="832"/>
      <c r="VA235" s="832"/>
      <c r="VB235" s="832"/>
      <c r="VC235" s="832"/>
      <c r="VD235" s="832"/>
      <c r="VE235" s="832"/>
      <c r="VF235" s="832"/>
      <c r="VG235" s="832"/>
      <c r="VH235" s="832"/>
      <c r="VI235" s="832"/>
      <c r="VJ235" s="832"/>
      <c r="VK235" s="832"/>
      <c r="VL235" s="832"/>
      <c r="VM235" s="832"/>
      <c r="VN235" s="832"/>
      <c r="VO235" s="832"/>
      <c r="VP235" s="832"/>
      <c r="VQ235" s="832"/>
      <c r="VR235" s="832"/>
      <c r="VS235" s="832"/>
      <c r="VT235" s="832"/>
      <c r="VU235" s="832"/>
      <c r="VV235" s="832"/>
      <c r="VW235" s="832"/>
      <c r="VX235" s="832"/>
      <c r="VY235" s="832"/>
      <c r="VZ235" s="832"/>
      <c r="WA235" s="832"/>
      <c r="WB235" s="832"/>
      <c r="WC235" s="832"/>
      <c r="WD235" s="832"/>
      <c r="WE235" s="832"/>
      <c r="WF235" s="832"/>
      <c r="WG235" s="832"/>
      <c r="WH235" s="832"/>
      <c r="WI235" s="832"/>
      <c r="WJ235" s="832"/>
      <c r="WK235" s="832"/>
      <c r="WL235" s="832"/>
      <c r="WM235" s="832"/>
      <c r="WN235" s="832"/>
      <c r="WO235" s="832"/>
      <c r="WP235" s="832"/>
      <c r="WQ235" s="832"/>
      <c r="WR235" s="832"/>
      <c r="WS235" s="832"/>
      <c r="WT235" s="832"/>
      <c r="WU235" s="832"/>
      <c r="WV235" s="832"/>
      <c r="WW235" s="832"/>
      <c r="WX235" s="832"/>
      <c r="WY235" s="832"/>
      <c r="WZ235" s="832"/>
      <c r="XA235" s="832"/>
      <c r="XB235" s="832"/>
      <c r="XC235" s="832"/>
      <c r="XD235" s="832"/>
      <c r="XE235" s="832"/>
      <c r="XF235" s="832"/>
      <c r="XG235" s="832"/>
      <c r="XH235" s="832"/>
      <c r="XI235" s="832"/>
      <c r="XJ235" s="832"/>
      <c r="XK235" s="832"/>
      <c r="XL235" s="832"/>
      <c r="XM235" s="832"/>
      <c r="XN235" s="832"/>
      <c r="XO235" s="832"/>
      <c r="XP235" s="832"/>
      <c r="XQ235" s="832"/>
      <c r="XR235" s="832"/>
      <c r="XS235" s="832"/>
      <c r="XT235" s="832"/>
      <c r="XU235" s="832"/>
      <c r="XV235" s="832"/>
      <c r="XW235" s="832"/>
      <c r="XX235" s="832"/>
      <c r="XY235" s="832"/>
      <c r="XZ235" s="832"/>
      <c r="YA235" s="832"/>
      <c r="YB235" s="832"/>
      <c r="YC235" s="832"/>
      <c r="YD235" s="832"/>
      <c r="YE235" s="832"/>
      <c r="YF235" s="832"/>
      <c r="YG235" s="832"/>
      <c r="YH235" s="832"/>
      <c r="YI235" s="832"/>
      <c r="YJ235" s="832"/>
      <c r="YK235" s="832"/>
      <c r="YL235" s="832"/>
      <c r="YM235" s="832"/>
      <c r="YN235" s="832"/>
      <c r="YO235" s="832"/>
      <c r="YP235" s="832"/>
      <c r="YQ235" s="832"/>
      <c r="YR235" s="832"/>
      <c r="YS235" s="832"/>
      <c r="YT235" s="832"/>
      <c r="YU235" s="832"/>
      <c r="YV235" s="832"/>
      <c r="YW235" s="832"/>
      <c r="YX235" s="832"/>
      <c r="YY235" s="832"/>
      <c r="YZ235" s="832"/>
      <c r="ZA235" s="832"/>
      <c r="ZB235" s="832"/>
      <c r="ZC235" s="832"/>
      <c r="ZD235" s="832"/>
      <c r="ZE235" s="832"/>
      <c r="ZF235" s="832"/>
      <c r="ZG235" s="832"/>
      <c r="ZH235" s="832"/>
      <c r="ZI235" s="832"/>
      <c r="ZJ235" s="832"/>
      <c r="ZK235" s="832"/>
      <c r="ZL235" s="832"/>
      <c r="ZM235" s="832"/>
      <c r="ZN235" s="832"/>
      <c r="ZO235" s="832"/>
      <c r="ZP235" s="832"/>
      <c r="ZQ235" s="832"/>
      <c r="ZR235" s="832"/>
      <c r="ZS235" s="832"/>
      <c r="ZT235" s="832"/>
      <c r="ZU235" s="832"/>
      <c r="ZV235" s="832"/>
      <c r="ZW235" s="832"/>
      <c r="ZX235" s="832"/>
      <c r="ZY235" s="832"/>
      <c r="ZZ235" s="832"/>
      <c r="AAA235" s="832"/>
      <c r="AAB235" s="832"/>
      <c r="AAC235" s="832"/>
      <c r="AAD235" s="832"/>
      <c r="AAE235" s="832"/>
      <c r="AAF235" s="832"/>
      <c r="AAG235" s="832"/>
      <c r="AAH235" s="832"/>
      <c r="AAI235" s="832"/>
      <c r="AAJ235" s="832"/>
      <c r="AAK235" s="832"/>
      <c r="AAL235" s="832"/>
      <c r="AAM235" s="832"/>
      <c r="AAN235" s="832"/>
      <c r="AAO235" s="832"/>
      <c r="AAP235" s="832"/>
      <c r="AAQ235" s="832"/>
      <c r="AAR235" s="832"/>
      <c r="AAS235" s="832"/>
      <c r="AAT235" s="832"/>
      <c r="AAU235" s="832"/>
      <c r="AAV235" s="832"/>
      <c r="AAW235" s="832"/>
      <c r="AAX235" s="832"/>
      <c r="AAY235" s="832"/>
      <c r="AAZ235" s="832"/>
      <c r="ABA235" s="832"/>
      <c r="ABB235" s="832"/>
      <c r="ABC235" s="832"/>
      <c r="ABD235" s="832"/>
      <c r="ABE235" s="832"/>
      <c r="ABF235" s="832"/>
      <c r="ABG235" s="832"/>
      <c r="ABH235" s="832"/>
      <c r="ABI235" s="832"/>
      <c r="ABJ235" s="832"/>
      <c r="ABK235" s="832"/>
      <c r="ABL235" s="832"/>
      <c r="ABM235" s="832"/>
      <c r="ABN235" s="832"/>
      <c r="ABO235" s="832"/>
      <c r="ABP235" s="832"/>
      <c r="ABQ235" s="832"/>
      <c r="ABR235" s="832"/>
      <c r="ABS235" s="832"/>
      <c r="ABT235" s="832"/>
      <c r="ABU235" s="832"/>
      <c r="ABV235" s="832"/>
      <c r="ABW235" s="832"/>
      <c r="ABX235" s="832"/>
      <c r="ABY235" s="832"/>
      <c r="ABZ235" s="832"/>
      <c r="ACA235" s="832"/>
      <c r="ACB235" s="832"/>
      <c r="ACC235" s="832"/>
      <c r="ACD235" s="832"/>
      <c r="ACE235" s="832"/>
      <c r="ACF235" s="832"/>
      <c r="ACG235" s="832"/>
      <c r="ACH235" s="832"/>
      <c r="ACI235" s="832"/>
      <c r="ACJ235" s="832"/>
      <c r="ACK235" s="832"/>
      <c r="ACL235" s="832"/>
      <c r="ACM235" s="832"/>
      <c r="ACN235" s="832"/>
      <c r="ACO235" s="832"/>
      <c r="ACP235" s="832"/>
      <c r="ACQ235" s="832"/>
      <c r="ACR235" s="832"/>
      <c r="ACS235" s="832"/>
      <c r="ACT235" s="832"/>
      <c r="ACU235" s="832"/>
      <c r="ACV235" s="832"/>
      <c r="ACW235" s="832"/>
      <c r="ACX235" s="832"/>
      <c r="ACY235" s="832"/>
      <c r="ACZ235" s="832"/>
      <c r="ADA235" s="832"/>
      <c r="ADB235" s="832"/>
      <c r="ADC235" s="832"/>
      <c r="ADD235" s="832"/>
      <c r="ADE235" s="832"/>
      <c r="ADF235" s="832"/>
      <c r="ADG235" s="832"/>
      <c r="ADH235" s="832"/>
      <c r="ADI235" s="832"/>
      <c r="ADJ235" s="832"/>
      <c r="ADK235" s="832"/>
      <c r="ADL235" s="832"/>
      <c r="ADM235" s="832"/>
      <c r="ADN235" s="832"/>
      <c r="ADO235" s="832"/>
      <c r="ADP235" s="832"/>
      <c r="ADQ235" s="832"/>
      <c r="ADR235" s="832"/>
      <c r="ADS235" s="832"/>
      <c r="ADT235" s="832"/>
      <c r="ADU235" s="832"/>
      <c r="ADV235" s="832"/>
      <c r="ADW235" s="832"/>
      <c r="ADX235" s="832"/>
      <c r="ADY235" s="832"/>
      <c r="ADZ235" s="832"/>
      <c r="AEA235" s="832"/>
      <c r="AEB235" s="832"/>
      <c r="AEC235" s="832"/>
      <c r="AED235" s="832"/>
      <c r="AEE235" s="832"/>
      <c r="AEF235" s="832"/>
      <c r="AEG235" s="832"/>
      <c r="AEH235" s="832"/>
      <c r="AEI235" s="832"/>
      <c r="AEJ235" s="832"/>
      <c r="AEK235" s="832"/>
      <c r="AEL235" s="832"/>
      <c r="AEM235" s="832"/>
      <c r="AEN235" s="832"/>
      <c r="AEO235" s="832"/>
      <c r="AEP235" s="832"/>
      <c r="AEQ235" s="832"/>
      <c r="AER235" s="832"/>
      <c r="AES235" s="832"/>
      <c r="AET235" s="832"/>
      <c r="AEU235" s="832"/>
      <c r="AEV235" s="832"/>
      <c r="AEW235" s="832"/>
      <c r="AEX235" s="832"/>
      <c r="AEY235" s="832"/>
      <c r="AEZ235" s="832"/>
      <c r="AFA235" s="832"/>
      <c r="AFB235" s="832"/>
      <c r="AFC235" s="832"/>
      <c r="AFD235" s="832"/>
      <c r="AFE235" s="832"/>
      <c r="AFF235" s="832"/>
      <c r="AFG235" s="832"/>
      <c r="AFH235" s="832"/>
      <c r="AFI235" s="832"/>
      <c r="AFJ235" s="832"/>
      <c r="AFK235" s="832"/>
      <c r="AFL235" s="832"/>
      <c r="AFM235" s="832"/>
      <c r="AFN235" s="832"/>
      <c r="AFO235" s="832"/>
      <c r="AFP235" s="832"/>
      <c r="AFQ235" s="832"/>
      <c r="AFR235" s="832"/>
      <c r="AFS235" s="832"/>
      <c r="AFT235" s="832"/>
      <c r="AFU235" s="832"/>
      <c r="AFV235" s="832"/>
      <c r="AFW235" s="832"/>
      <c r="AFX235" s="832"/>
      <c r="AFY235" s="832"/>
      <c r="AFZ235" s="832"/>
      <c r="AGA235" s="832"/>
      <c r="AGB235" s="832"/>
      <c r="AGC235" s="832"/>
      <c r="AGD235" s="832"/>
      <c r="AGE235" s="832"/>
      <c r="AGF235" s="832"/>
      <c r="AGG235" s="832"/>
      <c r="AGH235" s="832"/>
      <c r="AGI235" s="832"/>
      <c r="AGJ235" s="832"/>
      <c r="AGK235" s="832"/>
      <c r="AGL235" s="832"/>
      <c r="AGM235" s="832"/>
      <c r="AGN235" s="832"/>
      <c r="AGO235" s="832"/>
      <c r="AGP235" s="832"/>
      <c r="AGQ235" s="832"/>
      <c r="AGR235" s="832"/>
      <c r="AGS235" s="832"/>
      <c r="AGT235" s="832"/>
      <c r="AGU235" s="832"/>
      <c r="AGV235" s="832"/>
      <c r="AGW235" s="832"/>
      <c r="AGX235" s="832"/>
      <c r="AGY235" s="832"/>
      <c r="AGZ235" s="832"/>
      <c r="AHA235" s="832"/>
      <c r="AHB235" s="832"/>
      <c r="AHC235" s="832"/>
      <c r="AHD235" s="832"/>
      <c r="AHE235" s="832"/>
      <c r="AHF235" s="832"/>
      <c r="AHG235" s="832"/>
      <c r="AHH235" s="832"/>
      <c r="AHI235" s="832"/>
      <c r="AHJ235" s="832"/>
      <c r="AHK235" s="832"/>
      <c r="AHL235" s="832"/>
      <c r="AHM235" s="832"/>
      <c r="AHN235" s="832"/>
      <c r="AHO235" s="832"/>
      <c r="AHP235" s="832"/>
      <c r="AHQ235" s="832"/>
      <c r="AHR235" s="832"/>
      <c r="AHS235" s="832"/>
      <c r="AHT235" s="832"/>
      <c r="AHU235" s="832"/>
      <c r="AHV235" s="832"/>
      <c r="AHW235" s="832"/>
      <c r="AHX235" s="832"/>
      <c r="AHY235" s="832"/>
      <c r="AHZ235" s="832"/>
      <c r="AIA235" s="832"/>
      <c r="AIB235" s="832"/>
      <c r="AIC235" s="832"/>
      <c r="AID235" s="832"/>
      <c r="AIE235" s="832"/>
      <c r="AIF235" s="832"/>
      <c r="AIG235" s="832"/>
      <c r="AIH235" s="832"/>
      <c r="AII235" s="832"/>
      <c r="AIJ235" s="832"/>
      <c r="AIK235" s="832"/>
      <c r="AIL235" s="832"/>
      <c r="AIM235" s="832"/>
      <c r="AIN235" s="832"/>
      <c r="AIO235" s="832"/>
      <c r="AIP235" s="832"/>
      <c r="AIQ235" s="832"/>
      <c r="AIR235" s="832"/>
      <c r="AIS235" s="832"/>
      <c r="AIT235" s="832"/>
      <c r="AIU235" s="832"/>
      <c r="AIV235" s="832"/>
      <c r="AIW235" s="832"/>
      <c r="AIX235" s="832"/>
      <c r="AIY235" s="832"/>
      <c r="AIZ235" s="832"/>
      <c r="AJA235" s="832"/>
      <c r="AJB235" s="832"/>
      <c r="AJC235" s="832"/>
      <c r="AJD235" s="832"/>
      <c r="AJE235" s="832"/>
      <c r="AJF235" s="832"/>
      <c r="AJG235" s="832"/>
      <c r="AJH235" s="832"/>
      <c r="AJI235" s="832"/>
      <c r="AJJ235" s="832"/>
      <c r="AJK235" s="832"/>
      <c r="AJL235" s="832"/>
      <c r="AJM235" s="832"/>
      <c r="AJN235" s="832"/>
      <c r="AJO235" s="832"/>
      <c r="AJP235" s="832"/>
      <c r="AJQ235" s="832"/>
      <c r="AJR235" s="832"/>
      <c r="AJS235" s="832"/>
      <c r="AJT235" s="832"/>
      <c r="AJU235" s="832"/>
      <c r="AJV235" s="832"/>
      <c r="AJW235" s="832"/>
      <c r="AJX235" s="832"/>
      <c r="AJY235" s="832"/>
      <c r="AJZ235" s="832"/>
      <c r="AKA235" s="832"/>
      <c r="AKB235" s="832"/>
      <c r="AKC235" s="832"/>
      <c r="AKD235" s="832"/>
      <c r="AKE235" s="832"/>
      <c r="AKF235" s="832"/>
      <c r="AKG235" s="832"/>
      <c r="AKH235" s="832"/>
      <c r="AKI235" s="832"/>
      <c r="AKJ235" s="832"/>
      <c r="AKK235" s="832"/>
      <c r="AKL235" s="832"/>
      <c r="AKM235" s="832"/>
      <c r="AKN235" s="832"/>
      <c r="AKO235" s="832"/>
      <c r="AKP235" s="832"/>
      <c r="AKQ235" s="832"/>
      <c r="AKR235" s="832"/>
      <c r="AKS235" s="832"/>
      <c r="AKT235" s="832"/>
      <c r="AKU235" s="832"/>
      <c r="AKV235" s="832"/>
      <c r="AKW235" s="832"/>
      <c r="AKX235" s="832"/>
      <c r="AKY235" s="832"/>
      <c r="AKZ235" s="832"/>
      <c r="ALA235" s="832"/>
      <c r="ALB235" s="832"/>
      <c r="ALC235" s="832"/>
      <c r="ALD235" s="832"/>
      <c r="ALE235" s="832"/>
      <c r="ALF235" s="832"/>
      <c r="ALG235" s="832"/>
      <c r="ALH235" s="832"/>
      <c r="ALI235" s="832"/>
      <c r="ALJ235" s="832"/>
      <c r="ALK235" s="832"/>
      <c r="ALL235" s="832"/>
      <c r="ALM235" s="832"/>
      <c r="ALN235" s="832"/>
      <c r="ALO235" s="832"/>
      <c r="ALP235" s="832"/>
      <c r="ALQ235" s="832"/>
      <c r="ALR235" s="832"/>
      <c r="ALS235" s="832"/>
      <c r="ALT235" s="832"/>
      <c r="ALU235" s="832"/>
      <c r="ALV235" s="832"/>
      <c r="ALW235" s="832"/>
      <c r="ALX235" s="832"/>
      <c r="ALY235" s="832"/>
      <c r="ALZ235" s="832"/>
      <c r="AMA235" s="832"/>
      <c r="AMB235" s="832"/>
      <c r="AMC235" s="832"/>
      <c r="AMD235" s="832"/>
      <c r="AME235" s="832"/>
      <c r="AMF235" s="832"/>
      <c r="AMG235" s="832"/>
      <c r="AMH235" s="832"/>
      <c r="AMI235" s="832"/>
      <c r="AMJ235" s="832"/>
      <c r="AMK235" s="832"/>
      <c r="AML235" s="832"/>
    </row>
    <row r="236" spans="1:1026" s="388" customFormat="1" ht="35.1" customHeight="1" outlineLevel="1">
      <c r="A236" s="885"/>
      <c r="B236" s="444" t="s">
        <v>597</v>
      </c>
      <c r="C236" s="886" t="s">
        <v>598</v>
      </c>
      <c r="D236" s="448" t="s">
        <v>599</v>
      </c>
      <c r="E236" s="449" t="s">
        <v>60</v>
      </c>
      <c r="F236" s="992">
        <f>Plan1!D187</f>
        <v>2</v>
      </c>
      <c r="G236" s="925">
        <f t="shared" si="56"/>
        <v>201.75</v>
      </c>
      <c r="H236" s="889">
        <f t="shared" si="57"/>
        <v>403.5</v>
      </c>
      <c r="I236" s="885"/>
      <c r="J236" s="915">
        <v>159.35</v>
      </c>
      <c r="K236" s="916">
        <f t="shared" si="55"/>
        <v>201.75</v>
      </c>
      <c r="L236" s="832"/>
      <c r="M236" s="832"/>
      <c r="N236" s="832"/>
      <c r="O236" s="832"/>
      <c r="P236" s="832"/>
      <c r="Q236" s="832"/>
      <c r="R236" s="832"/>
      <c r="S236" s="832"/>
      <c r="T236" s="832"/>
      <c r="U236" s="832"/>
      <c r="V236" s="832"/>
      <c r="W236" s="832"/>
      <c r="X236" s="832"/>
      <c r="Y236" s="832"/>
      <c r="Z236" s="832"/>
      <c r="AA236" s="832"/>
      <c r="AB236" s="832"/>
      <c r="AC236" s="832"/>
      <c r="AD236" s="832"/>
      <c r="AE236" s="832"/>
      <c r="AF236" s="832"/>
      <c r="AG236" s="832"/>
      <c r="AH236" s="832"/>
      <c r="AI236" s="832"/>
      <c r="AJ236" s="832"/>
      <c r="AK236" s="832"/>
      <c r="AL236" s="832"/>
      <c r="AM236" s="832"/>
      <c r="AN236" s="832"/>
      <c r="AO236" s="832"/>
      <c r="AP236" s="832"/>
      <c r="AQ236" s="832"/>
      <c r="AR236" s="832"/>
      <c r="AS236" s="832"/>
      <c r="AT236" s="832"/>
      <c r="AU236" s="832"/>
      <c r="AV236" s="832"/>
      <c r="AW236" s="832"/>
      <c r="AX236" s="832"/>
      <c r="AY236" s="832"/>
      <c r="AZ236" s="832"/>
      <c r="BA236" s="832"/>
      <c r="BB236" s="832"/>
      <c r="BC236" s="832"/>
      <c r="BD236" s="832"/>
      <c r="BE236" s="832"/>
      <c r="BF236" s="832"/>
      <c r="BG236" s="832"/>
      <c r="BH236" s="832"/>
      <c r="BI236" s="832"/>
      <c r="BJ236" s="832"/>
      <c r="BK236" s="832"/>
      <c r="BL236" s="832"/>
      <c r="BM236" s="832"/>
      <c r="BN236" s="832"/>
      <c r="BO236" s="832"/>
      <c r="BP236" s="832"/>
      <c r="BQ236" s="832"/>
      <c r="BR236" s="832"/>
      <c r="BS236" s="832"/>
      <c r="BT236" s="832"/>
      <c r="BU236" s="832"/>
      <c r="BV236" s="832"/>
      <c r="BW236" s="832"/>
      <c r="BX236" s="832"/>
      <c r="BY236" s="832"/>
      <c r="BZ236" s="832"/>
      <c r="CA236" s="832"/>
      <c r="CB236" s="832"/>
      <c r="CC236" s="832"/>
      <c r="CD236" s="832"/>
      <c r="CE236" s="832"/>
      <c r="CF236" s="832"/>
      <c r="CG236" s="832"/>
      <c r="CH236" s="832"/>
      <c r="CI236" s="832"/>
      <c r="CJ236" s="832"/>
      <c r="CK236" s="832"/>
      <c r="CL236" s="832"/>
      <c r="CM236" s="832"/>
      <c r="CN236" s="832"/>
      <c r="CO236" s="832"/>
      <c r="CP236" s="832"/>
      <c r="CQ236" s="832"/>
      <c r="CR236" s="832"/>
      <c r="CS236" s="832"/>
      <c r="CT236" s="832"/>
      <c r="CU236" s="832"/>
      <c r="CV236" s="832"/>
      <c r="CW236" s="832"/>
      <c r="CX236" s="832"/>
      <c r="CY236" s="832"/>
      <c r="CZ236" s="832"/>
      <c r="DA236" s="832"/>
      <c r="DB236" s="832"/>
      <c r="DC236" s="832"/>
      <c r="DD236" s="832"/>
      <c r="DE236" s="832"/>
      <c r="DF236" s="832"/>
      <c r="DG236" s="832"/>
      <c r="DH236" s="832"/>
      <c r="DI236" s="832"/>
      <c r="DJ236" s="832"/>
      <c r="DK236" s="832"/>
      <c r="DL236" s="832"/>
      <c r="DM236" s="832"/>
      <c r="DN236" s="832"/>
      <c r="DO236" s="832"/>
      <c r="DP236" s="832"/>
      <c r="DQ236" s="832"/>
      <c r="DR236" s="832"/>
      <c r="DS236" s="832"/>
      <c r="DT236" s="832"/>
      <c r="DU236" s="832"/>
      <c r="DV236" s="832"/>
      <c r="DW236" s="832"/>
      <c r="DX236" s="832"/>
      <c r="DY236" s="832"/>
      <c r="DZ236" s="832"/>
      <c r="EA236" s="832"/>
      <c r="EB236" s="832"/>
      <c r="EC236" s="832"/>
      <c r="ED236" s="832"/>
      <c r="EE236" s="832"/>
      <c r="EF236" s="832"/>
      <c r="EG236" s="832"/>
      <c r="EH236" s="832"/>
      <c r="EI236" s="832"/>
      <c r="EJ236" s="832"/>
      <c r="EK236" s="832"/>
      <c r="EL236" s="832"/>
      <c r="EM236" s="832"/>
      <c r="EN236" s="832"/>
      <c r="EO236" s="832"/>
      <c r="EP236" s="832"/>
      <c r="EQ236" s="832"/>
      <c r="ER236" s="832"/>
      <c r="ES236" s="832"/>
      <c r="ET236" s="832"/>
      <c r="EU236" s="832"/>
      <c r="EV236" s="832"/>
      <c r="EW236" s="832"/>
      <c r="EX236" s="832"/>
      <c r="EY236" s="832"/>
      <c r="EZ236" s="832"/>
      <c r="FA236" s="832"/>
      <c r="FB236" s="832"/>
      <c r="FC236" s="832"/>
      <c r="FD236" s="832"/>
      <c r="FE236" s="832"/>
      <c r="FF236" s="832"/>
      <c r="FG236" s="832"/>
      <c r="FH236" s="832"/>
      <c r="FI236" s="832"/>
      <c r="FJ236" s="832"/>
      <c r="FK236" s="832"/>
      <c r="FL236" s="832"/>
      <c r="FM236" s="832"/>
      <c r="FN236" s="832"/>
      <c r="FO236" s="832"/>
      <c r="FP236" s="832"/>
      <c r="FQ236" s="832"/>
      <c r="FR236" s="832"/>
      <c r="FS236" s="832"/>
      <c r="FT236" s="832"/>
      <c r="FU236" s="832"/>
      <c r="FV236" s="832"/>
      <c r="FW236" s="832"/>
      <c r="FX236" s="832"/>
      <c r="FY236" s="832"/>
      <c r="FZ236" s="832"/>
      <c r="GA236" s="832"/>
      <c r="GB236" s="832"/>
      <c r="GC236" s="832"/>
      <c r="GD236" s="832"/>
      <c r="GE236" s="832"/>
      <c r="GF236" s="832"/>
      <c r="GG236" s="832"/>
      <c r="GH236" s="832"/>
      <c r="GI236" s="832"/>
      <c r="GJ236" s="832"/>
      <c r="GK236" s="832"/>
      <c r="GL236" s="832"/>
      <c r="GM236" s="832"/>
      <c r="GN236" s="832"/>
      <c r="GO236" s="832"/>
      <c r="GP236" s="832"/>
      <c r="GQ236" s="832"/>
      <c r="GR236" s="832"/>
      <c r="GS236" s="832"/>
      <c r="GT236" s="832"/>
      <c r="GU236" s="832"/>
      <c r="GV236" s="832"/>
      <c r="GW236" s="832"/>
      <c r="GX236" s="832"/>
      <c r="GY236" s="832"/>
      <c r="GZ236" s="832"/>
      <c r="HA236" s="832"/>
      <c r="HB236" s="832"/>
      <c r="HC236" s="832"/>
      <c r="HD236" s="832"/>
      <c r="HE236" s="832"/>
      <c r="HF236" s="832"/>
      <c r="HG236" s="832"/>
      <c r="HH236" s="832"/>
      <c r="HI236" s="832"/>
      <c r="HJ236" s="832"/>
      <c r="HK236" s="832"/>
      <c r="HL236" s="832"/>
      <c r="HM236" s="832"/>
      <c r="HN236" s="832"/>
      <c r="HO236" s="832"/>
      <c r="HP236" s="832"/>
      <c r="HQ236" s="832"/>
      <c r="HR236" s="832"/>
      <c r="HS236" s="832"/>
      <c r="HT236" s="832"/>
      <c r="HU236" s="832"/>
      <c r="HV236" s="832"/>
      <c r="HW236" s="832"/>
      <c r="HX236" s="832"/>
      <c r="HY236" s="832"/>
      <c r="HZ236" s="832"/>
      <c r="IA236" s="832"/>
      <c r="IB236" s="832"/>
      <c r="IC236" s="832"/>
      <c r="ID236" s="832"/>
      <c r="IE236" s="832"/>
      <c r="IF236" s="832"/>
      <c r="IG236" s="832"/>
      <c r="IH236" s="832"/>
      <c r="II236" s="832"/>
      <c r="IJ236" s="832"/>
      <c r="IK236" s="832"/>
      <c r="IL236" s="832"/>
      <c r="IM236" s="832"/>
      <c r="IN236" s="832"/>
      <c r="IO236" s="832"/>
      <c r="IP236" s="832"/>
      <c r="IQ236" s="832"/>
      <c r="IR236" s="832"/>
      <c r="IS236" s="832"/>
      <c r="IT236" s="832"/>
      <c r="IU236" s="832"/>
      <c r="IV236" s="832"/>
      <c r="IW236" s="832"/>
      <c r="IX236" s="832"/>
      <c r="IY236" s="832"/>
      <c r="IZ236" s="832"/>
      <c r="JA236" s="832"/>
      <c r="JB236" s="832"/>
      <c r="JC236" s="832"/>
      <c r="JD236" s="832"/>
      <c r="JE236" s="832"/>
      <c r="JF236" s="832"/>
      <c r="JG236" s="832"/>
      <c r="JH236" s="832"/>
      <c r="JI236" s="832"/>
      <c r="JJ236" s="832"/>
      <c r="JK236" s="832"/>
      <c r="JL236" s="832"/>
      <c r="JM236" s="832"/>
      <c r="JN236" s="832"/>
      <c r="JO236" s="832"/>
      <c r="JP236" s="832"/>
      <c r="JQ236" s="832"/>
      <c r="JR236" s="832"/>
      <c r="JS236" s="832"/>
      <c r="JT236" s="832"/>
      <c r="JU236" s="832"/>
      <c r="JV236" s="832"/>
      <c r="JW236" s="832"/>
      <c r="JX236" s="832"/>
      <c r="JY236" s="832"/>
      <c r="JZ236" s="832"/>
      <c r="KA236" s="832"/>
      <c r="KB236" s="832"/>
      <c r="KC236" s="832"/>
      <c r="KD236" s="832"/>
      <c r="KE236" s="832"/>
      <c r="KF236" s="832"/>
      <c r="KG236" s="832"/>
      <c r="KH236" s="832"/>
      <c r="KI236" s="832"/>
      <c r="KJ236" s="832"/>
      <c r="KK236" s="832"/>
      <c r="KL236" s="832"/>
      <c r="KM236" s="832"/>
      <c r="KN236" s="832"/>
      <c r="KO236" s="832"/>
      <c r="KP236" s="832"/>
      <c r="KQ236" s="832"/>
      <c r="KR236" s="832"/>
      <c r="KS236" s="832"/>
      <c r="KT236" s="832"/>
      <c r="KU236" s="832"/>
      <c r="KV236" s="832"/>
      <c r="KW236" s="832"/>
      <c r="KX236" s="832"/>
      <c r="KY236" s="832"/>
      <c r="KZ236" s="832"/>
      <c r="LA236" s="832"/>
      <c r="LB236" s="832"/>
      <c r="LC236" s="832"/>
      <c r="LD236" s="832"/>
      <c r="LE236" s="832"/>
      <c r="LF236" s="832"/>
      <c r="LG236" s="832"/>
      <c r="LH236" s="832"/>
      <c r="LI236" s="832"/>
      <c r="LJ236" s="832"/>
      <c r="LK236" s="832"/>
      <c r="LL236" s="832"/>
      <c r="LM236" s="832"/>
      <c r="LN236" s="832"/>
      <c r="LO236" s="832"/>
      <c r="LP236" s="832"/>
      <c r="LQ236" s="832"/>
      <c r="LR236" s="832"/>
      <c r="LS236" s="832"/>
      <c r="LT236" s="832"/>
      <c r="LU236" s="832"/>
      <c r="LV236" s="832"/>
      <c r="LW236" s="832"/>
      <c r="LX236" s="832"/>
      <c r="LY236" s="832"/>
      <c r="LZ236" s="832"/>
      <c r="MA236" s="832"/>
      <c r="MB236" s="832"/>
      <c r="MC236" s="832"/>
      <c r="MD236" s="832"/>
      <c r="ME236" s="832"/>
      <c r="MF236" s="832"/>
      <c r="MG236" s="832"/>
      <c r="MH236" s="832"/>
      <c r="MI236" s="832"/>
      <c r="MJ236" s="832"/>
      <c r="MK236" s="832"/>
      <c r="ML236" s="832"/>
      <c r="MM236" s="832"/>
      <c r="MN236" s="832"/>
      <c r="MO236" s="832"/>
      <c r="MP236" s="832"/>
      <c r="MQ236" s="832"/>
      <c r="MR236" s="832"/>
      <c r="MS236" s="832"/>
      <c r="MT236" s="832"/>
      <c r="MU236" s="832"/>
      <c r="MV236" s="832"/>
      <c r="MW236" s="832"/>
      <c r="MX236" s="832"/>
      <c r="MY236" s="832"/>
      <c r="MZ236" s="832"/>
      <c r="NA236" s="832"/>
      <c r="NB236" s="832"/>
      <c r="NC236" s="832"/>
      <c r="ND236" s="832"/>
      <c r="NE236" s="832"/>
      <c r="NF236" s="832"/>
      <c r="NG236" s="832"/>
      <c r="NH236" s="832"/>
      <c r="NI236" s="832"/>
      <c r="NJ236" s="832"/>
      <c r="NK236" s="832"/>
      <c r="NL236" s="832"/>
      <c r="NM236" s="832"/>
      <c r="NN236" s="832"/>
      <c r="NO236" s="832"/>
      <c r="NP236" s="832"/>
      <c r="NQ236" s="832"/>
      <c r="NR236" s="832"/>
      <c r="NS236" s="832"/>
      <c r="NT236" s="832"/>
      <c r="NU236" s="832"/>
      <c r="NV236" s="832"/>
      <c r="NW236" s="832"/>
      <c r="NX236" s="832"/>
      <c r="NY236" s="832"/>
      <c r="NZ236" s="832"/>
      <c r="OA236" s="832"/>
      <c r="OB236" s="832"/>
      <c r="OC236" s="832"/>
      <c r="OD236" s="832"/>
      <c r="OE236" s="832"/>
      <c r="OF236" s="832"/>
      <c r="OG236" s="832"/>
      <c r="OH236" s="832"/>
      <c r="OI236" s="832"/>
      <c r="OJ236" s="832"/>
      <c r="OK236" s="832"/>
      <c r="OL236" s="832"/>
      <c r="OM236" s="832"/>
      <c r="ON236" s="832"/>
      <c r="OO236" s="832"/>
      <c r="OP236" s="832"/>
      <c r="OQ236" s="832"/>
      <c r="OR236" s="832"/>
      <c r="OS236" s="832"/>
      <c r="OT236" s="832"/>
      <c r="OU236" s="832"/>
      <c r="OV236" s="832"/>
      <c r="OW236" s="832"/>
      <c r="OX236" s="832"/>
      <c r="OY236" s="832"/>
      <c r="OZ236" s="832"/>
      <c r="PA236" s="832"/>
      <c r="PB236" s="832"/>
      <c r="PC236" s="832"/>
      <c r="PD236" s="832"/>
      <c r="PE236" s="832"/>
      <c r="PF236" s="832"/>
      <c r="PG236" s="832"/>
      <c r="PH236" s="832"/>
      <c r="PI236" s="832"/>
      <c r="PJ236" s="832"/>
      <c r="PK236" s="832"/>
      <c r="PL236" s="832"/>
      <c r="PM236" s="832"/>
      <c r="PN236" s="832"/>
      <c r="PO236" s="832"/>
      <c r="PP236" s="832"/>
      <c r="PQ236" s="832"/>
      <c r="PR236" s="832"/>
      <c r="PS236" s="832"/>
      <c r="PT236" s="832"/>
      <c r="PU236" s="832"/>
      <c r="PV236" s="832"/>
      <c r="PW236" s="832"/>
      <c r="PX236" s="832"/>
      <c r="PY236" s="832"/>
      <c r="PZ236" s="832"/>
      <c r="QA236" s="832"/>
      <c r="QB236" s="832"/>
      <c r="QC236" s="832"/>
      <c r="QD236" s="832"/>
      <c r="QE236" s="832"/>
      <c r="QF236" s="832"/>
      <c r="QG236" s="832"/>
      <c r="QH236" s="832"/>
      <c r="QI236" s="832"/>
      <c r="QJ236" s="832"/>
      <c r="QK236" s="832"/>
      <c r="QL236" s="832"/>
      <c r="QM236" s="832"/>
      <c r="QN236" s="832"/>
      <c r="QO236" s="832"/>
      <c r="QP236" s="832"/>
      <c r="QQ236" s="832"/>
      <c r="QR236" s="832"/>
      <c r="QS236" s="832"/>
      <c r="QT236" s="832"/>
      <c r="QU236" s="832"/>
      <c r="QV236" s="832"/>
      <c r="QW236" s="832"/>
      <c r="QX236" s="832"/>
      <c r="QY236" s="832"/>
      <c r="QZ236" s="832"/>
      <c r="RA236" s="832"/>
      <c r="RB236" s="832"/>
      <c r="RC236" s="832"/>
      <c r="RD236" s="832"/>
      <c r="RE236" s="832"/>
      <c r="RF236" s="832"/>
      <c r="RG236" s="832"/>
      <c r="RH236" s="832"/>
      <c r="RI236" s="832"/>
      <c r="RJ236" s="832"/>
      <c r="RK236" s="832"/>
      <c r="RL236" s="832"/>
      <c r="RM236" s="832"/>
      <c r="RN236" s="832"/>
      <c r="RO236" s="832"/>
      <c r="RP236" s="832"/>
      <c r="RQ236" s="832"/>
      <c r="RR236" s="832"/>
      <c r="RS236" s="832"/>
      <c r="RT236" s="832"/>
      <c r="RU236" s="832"/>
      <c r="RV236" s="832"/>
      <c r="RW236" s="832"/>
      <c r="RX236" s="832"/>
      <c r="RY236" s="832"/>
      <c r="RZ236" s="832"/>
      <c r="SA236" s="832"/>
      <c r="SB236" s="832"/>
      <c r="SC236" s="832"/>
      <c r="SD236" s="832"/>
      <c r="SE236" s="832"/>
      <c r="SF236" s="832"/>
      <c r="SG236" s="832"/>
      <c r="SH236" s="832"/>
      <c r="SI236" s="832"/>
      <c r="SJ236" s="832"/>
      <c r="SK236" s="832"/>
      <c r="SL236" s="832"/>
      <c r="SM236" s="832"/>
      <c r="SN236" s="832"/>
      <c r="SO236" s="832"/>
      <c r="SP236" s="832"/>
      <c r="SQ236" s="832"/>
      <c r="SR236" s="832"/>
      <c r="SS236" s="832"/>
      <c r="ST236" s="832"/>
      <c r="SU236" s="832"/>
      <c r="SV236" s="832"/>
      <c r="SW236" s="832"/>
      <c r="SX236" s="832"/>
      <c r="SY236" s="832"/>
      <c r="SZ236" s="832"/>
      <c r="TA236" s="832"/>
      <c r="TB236" s="832"/>
      <c r="TC236" s="832"/>
      <c r="TD236" s="832"/>
      <c r="TE236" s="832"/>
      <c r="TF236" s="832"/>
      <c r="TG236" s="832"/>
      <c r="TH236" s="832"/>
      <c r="TI236" s="832"/>
      <c r="TJ236" s="832"/>
      <c r="TK236" s="832"/>
      <c r="TL236" s="832"/>
      <c r="TM236" s="832"/>
      <c r="TN236" s="832"/>
      <c r="TO236" s="832"/>
      <c r="TP236" s="832"/>
      <c r="TQ236" s="832"/>
      <c r="TR236" s="832"/>
      <c r="TS236" s="832"/>
      <c r="TT236" s="832"/>
      <c r="TU236" s="832"/>
      <c r="TV236" s="832"/>
      <c r="TW236" s="832"/>
      <c r="TX236" s="832"/>
      <c r="TY236" s="832"/>
      <c r="TZ236" s="832"/>
      <c r="UA236" s="832"/>
      <c r="UB236" s="832"/>
      <c r="UC236" s="832"/>
      <c r="UD236" s="832"/>
      <c r="UE236" s="832"/>
      <c r="UF236" s="832"/>
      <c r="UG236" s="832"/>
      <c r="UH236" s="832"/>
      <c r="UI236" s="832"/>
      <c r="UJ236" s="832"/>
      <c r="UK236" s="832"/>
      <c r="UL236" s="832"/>
      <c r="UM236" s="832"/>
      <c r="UN236" s="832"/>
      <c r="UO236" s="832"/>
      <c r="UP236" s="832"/>
      <c r="UQ236" s="832"/>
      <c r="UR236" s="832"/>
      <c r="US236" s="832"/>
      <c r="UT236" s="832"/>
      <c r="UU236" s="832"/>
      <c r="UV236" s="832"/>
      <c r="UW236" s="832"/>
      <c r="UX236" s="832"/>
      <c r="UY236" s="832"/>
      <c r="UZ236" s="832"/>
      <c r="VA236" s="832"/>
      <c r="VB236" s="832"/>
      <c r="VC236" s="832"/>
      <c r="VD236" s="832"/>
      <c r="VE236" s="832"/>
      <c r="VF236" s="832"/>
      <c r="VG236" s="832"/>
      <c r="VH236" s="832"/>
      <c r="VI236" s="832"/>
      <c r="VJ236" s="832"/>
      <c r="VK236" s="832"/>
      <c r="VL236" s="832"/>
      <c r="VM236" s="832"/>
      <c r="VN236" s="832"/>
      <c r="VO236" s="832"/>
      <c r="VP236" s="832"/>
      <c r="VQ236" s="832"/>
      <c r="VR236" s="832"/>
      <c r="VS236" s="832"/>
      <c r="VT236" s="832"/>
      <c r="VU236" s="832"/>
      <c r="VV236" s="832"/>
      <c r="VW236" s="832"/>
      <c r="VX236" s="832"/>
      <c r="VY236" s="832"/>
      <c r="VZ236" s="832"/>
      <c r="WA236" s="832"/>
      <c r="WB236" s="832"/>
      <c r="WC236" s="832"/>
      <c r="WD236" s="832"/>
      <c r="WE236" s="832"/>
      <c r="WF236" s="832"/>
      <c r="WG236" s="832"/>
      <c r="WH236" s="832"/>
      <c r="WI236" s="832"/>
      <c r="WJ236" s="832"/>
      <c r="WK236" s="832"/>
      <c r="WL236" s="832"/>
      <c r="WM236" s="832"/>
      <c r="WN236" s="832"/>
      <c r="WO236" s="832"/>
      <c r="WP236" s="832"/>
      <c r="WQ236" s="832"/>
      <c r="WR236" s="832"/>
      <c r="WS236" s="832"/>
      <c r="WT236" s="832"/>
      <c r="WU236" s="832"/>
      <c r="WV236" s="832"/>
      <c r="WW236" s="832"/>
      <c r="WX236" s="832"/>
      <c r="WY236" s="832"/>
      <c r="WZ236" s="832"/>
      <c r="XA236" s="832"/>
      <c r="XB236" s="832"/>
      <c r="XC236" s="832"/>
      <c r="XD236" s="832"/>
      <c r="XE236" s="832"/>
      <c r="XF236" s="832"/>
      <c r="XG236" s="832"/>
      <c r="XH236" s="832"/>
      <c r="XI236" s="832"/>
      <c r="XJ236" s="832"/>
      <c r="XK236" s="832"/>
      <c r="XL236" s="832"/>
      <c r="XM236" s="832"/>
      <c r="XN236" s="832"/>
      <c r="XO236" s="832"/>
      <c r="XP236" s="832"/>
      <c r="XQ236" s="832"/>
      <c r="XR236" s="832"/>
      <c r="XS236" s="832"/>
      <c r="XT236" s="832"/>
      <c r="XU236" s="832"/>
      <c r="XV236" s="832"/>
      <c r="XW236" s="832"/>
      <c r="XX236" s="832"/>
      <c r="XY236" s="832"/>
      <c r="XZ236" s="832"/>
      <c r="YA236" s="832"/>
      <c r="YB236" s="832"/>
      <c r="YC236" s="832"/>
      <c r="YD236" s="832"/>
      <c r="YE236" s="832"/>
      <c r="YF236" s="832"/>
      <c r="YG236" s="832"/>
      <c r="YH236" s="832"/>
      <c r="YI236" s="832"/>
      <c r="YJ236" s="832"/>
      <c r="YK236" s="832"/>
      <c r="YL236" s="832"/>
      <c r="YM236" s="832"/>
      <c r="YN236" s="832"/>
      <c r="YO236" s="832"/>
      <c r="YP236" s="832"/>
      <c r="YQ236" s="832"/>
      <c r="YR236" s="832"/>
      <c r="YS236" s="832"/>
      <c r="YT236" s="832"/>
      <c r="YU236" s="832"/>
      <c r="YV236" s="832"/>
      <c r="YW236" s="832"/>
      <c r="YX236" s="832"/>
      <c r="YY236" s="832"/>
      <c r="YZ236" s="832"/>
      <c r="ZA236" s="832"/>
      <c r="ZB236" s="832"/>
      <c r="ZC236" s="832"/>
      <c r="ZD236" s="832"/>
      <c r="ZE236" s="832"/>
      <c r="ZF236" s="832"/>
      <c r="ZG236" s="832"/>
      <c r="ZH236" s="832"/>
      <c r="ZI236" s="832"/>
      <c r="ZJ236" s="832"/>
      <c r="ZK236" s="832"/>
      <c r="ZL236" s="832"/>
      <c r="ZM236" s="832"/>
      <c r="ZN236" s="832"/>
      <c r="ZO236" s="832"/>
      <c r="ZP236" s="832"/>
      <c r="ZQ236" s="832"/>
      <c r="ZR236" s="832"/>
      <c r="ZS236" s="832"/>
      <c r="ZT236" s="832"/>
      <c r="ZU236" s="832"/>
      <c r="ZV236" s="832"/>
      <c r="ZW236" s="832"/>
      <c r="ZX236" s="832"/>
      <c r="ZY236" s="832"/>
      <c r="ZZ236" s="832"/>
      <c r="AAA236" s="832"/>
      <c r="AAB236" s="832"/>
      <c r="AAC236" s="832"/>
      <c r="AAD236" s="832"/>
      <c r="AAE236" s="832"/>
      <c r="AAF236" s="832"/>
      <c r="AAG236" s="832"/>
      <c r="AAH236" s="832"/>
      <c r="AAI236" s="832"/>
      <c r="AAJ236" s="832"/>
      <c r="AAK236" s="832"/>
      <c r="AAL236" s="832"/>
      <c r="AAM236" s="832"/>
      <c r="AAN236" s="832"/>
      <c r="AAO236" s="832"/>
      <c r="AAP236" s="832"/>
      <c r="AAQ236" s="832"/>
      <c r="AAR236" s="832"/>
      <c r="AAS236" s="832"/>
      <c r="AAT236" s="832"/>
      <c r="AAU236" s="832"/>
      <c r="AAV236" s="832"/>
      <c r="AAW236" s="832"/>
      <c r="AAX236" s="832"/>
      <c r="AAY236" s="832"/>
      <c r="AAZ236" s="832"/>
      <c r="ABA236" s="832"/>
      <c r="ABB236" s="832"/>
      <c r="ABC236" s="832"/>
      <c r="ABD236" s="832"/>
      <c r="ABE236" s="832"/>
      <c r="ABF236" s="832"/>
      <c r="ABG236" s="832"/>
      <c r="ABH236" s="832"/>
      <c r="ABI236" s="832"/>
      <c r="ABJ236" s="832"/>
      <c r="ABK236" s="832"/>
      <c r="ABL236" s="832"/>
      <c r="ABM236" s="832"/>
      <c r="ABN236" s="832"/>
      <c r="ABO236" s="832"/>
      <c r="ABP236" s="832"/>
      <c r="ABQ236" s="832"/>
      <c r="ABR236" s="832"/>
      <c r="ABS236" s="832"/>
      <c r="ABT236" s="832"/>
      <c r="ABU236" s="832"/>
      <c r="ABV236" s="832"/>
      <c r="ABW236" s="832"/>
      <c r="ABX236" s="832"/>
      <c r="ABY236" s="832"/>
      <c r="ABZ236" s="832"/>
      <c r="ACA236" s="832"/>
      <c r="ACB236" s="832"/>
      <c r="ACC236" s="832"/>
      <c r="ACD236" s="832"/>
      <c r="ACE236" s="832"/>
      <c r="ACF236" s="832"/>
      <c r="ACG236" s="832"/>
      <c r="ACH236" s="832"/>
      <c r="ACI236" s="832"/>
      <c r="ACJ236" s="832"/>
      <c r="ACK236" s="832"/>
      <c r="ACL236" s="832"/>
      <c r="ACM236" s="832"/>
      <c r="ACN236" s="832"/>
      <c r="ACO236" s="832"/>
      <c r="ACP236" s="832"/>
      <c r="ACQ236" s="832"/>
      <c r="ACR236" s="832"/>
      <c r="ACS236" s="832"/>
      <c r="ACT236" s="832"/>
      <c r="ACU236" s="832"/>
      <c r="ACV236" s="832"/>
      <c r="ACW236" s="832"/>
      <c r="ACX236" s="832"/>
      <c r="ACY236" s="832"/>
      <c r="ACZ236" s="832"/>
      <c r="ADA236" s="832"/>
      <c r="ADB236" s="832"/>
      <c r="ADC236" s="832"/>
      <c r="ADD236" s="832"/>
      <c r="ADE236" s="832"/>
      <c r="ADF236" s="832"/>
      <c r="ADG236" s="832"/>
      <c r="ADH236" s="832"/>
      <c r="ADI236" s="832"/>
      <c r="ADJ236" s="832"/>
      <c r="ADK236" s="832"/>
      <c r="ADL236" s="832"/>
      <c r="ADM236" s="832"/>
      <c r="ADN236" s="832"/>
      <c r="ADO236" s="832"/>
      <c r="ADP236" s="832"/>
      <c r="ADQ236" s="832"/>
      <c r="ADR236" s="832"/>
      <c r="ADS236" s="832"/>
      <c r="ADT236" s="832"/>
      <c r="ADU236" s="832"/>
      <c r="ADV236" s="832"/>
      <c r="ADW236" s="832"/>
      <c r="ADX236" s="832"/>
      <c r="ADY236" s="832"/>
      <c r="ADZ236" s="832"/>
      <c r="AEA236" s="832"/>
      <c r="AEB236" s="832"/>
      <c r="AEC236" s="832"/>
      <c r="AED236" s="832"/>
      <c r="AEE236" s="832"/>
      <c r="AEF236" s="832"/>
      <c r="AEG236" s="832"/>
      <c r="AEH236" s="832"/>
      <c r="AEI236" s="832"/>
      <c r="AEJ236" s="832"/>
      <c r="AEK236" s="832"/>
      <c r="AEL236" s="832"/>
      <c r="AEM236" s="832"/>
      <c r="AEN236" s="832"/>
      <c r="AEO236" s="832"/>
      <c r="AEP236" s="832"/>
      <c r="AEQ236" s="832"/>
      <c r="AER236" s="832"/>
      <c r="AES236" s="832"/>
      <c r="AET236" s="832"/>
      <c r="AEU236" s="832"/>
      <c r="AEV236" s="832"/>
      <c r="AEW236" s="832"/>
      <c r="AEX236" s="832"/>
      <c r="AEY236" s="832"/>
      <c r="AEZ236" s="832"/>
      <c r="AFA236" s="832"/>
      <c r="AFB236" s="832"/>
      <c r="AFC236" s="832"/>
      <c r="AFD236" s="832"/>
      <c r="AFE236" s="832"/>
      <c r="AFF236" s="832"/>
      <c r="AFG236" s="832"/>
      <c r="AFH236" s="832"/>
      <c r="AFI236" s="832"/>
      <c r="AFJ236" s="832"/>
      <c r="AFK236" s="832"/>
      <c r="AFL236" s="832"/>
      <c r="AFM236" s="832"/>
      <c r="AFN236" s="832"/>
      <c r="AFO236" s="832"/>
      <c r="AFP236" s="832"/>
      <c r="AFQ236" s="832"/>
      <c r="AFR236" s="832"/>
      <c r="AFS236" s="832"/>
      <c r="AFT236" s="832"/>
      <c r="AFU236" s="832"/>
      <c r="AFV236" s="832"/>
      <c r="AFW236" s="832"/>
      <c r="AFX236" s="832"/>
      <c r="AFY236" s="832"/>
      <c r="AFZ236" s="832"/>
      <c r="AGA236" s="832"/>
      <c r="AGB236" s="832"/>
      <c r="AGC236" s="832"/>
      <c r="AGD236" s="832"/>
      <c r="AGE236" s="832"/>
      <c r="AGF236" s="832"/>
      <c r="AGG236" s="832"/>
      <c r="AGH236" s="832"/>
      <c r="AGI236" s="832"/>
      <c r="AGJ236" s="832"/>
      <c r="AGK236" s="832"/>
      <c r="AGL236" s="832"/>
      <c r="AGM236" s="832"/>
      <c r="AGN236" s="832"/>
      <c r="AGO236" s="832"/>
      <c r="AGP236" s="832"/>
      <c r="AGQ236" s="832"/>
      <c r="AGR236" s="832"/>
      <c r="AGS236" s="832"/>
      <c r="AGT236" s="832"/>
      <c r="AGU236" s="832"/>
      <c r="AGV236" s="832"/>
      <c r="AGW236" s="832"/>
      <c r="AGX236" s="832"/>
      <c r="AGY236" s="832"/>
      <c r="AGZ236" s="832"/>
      <c r="AHA236" s="832"/>
      <c r="AHB236" s="832"/>
      <c r="AHC236" s="832"/>
      <c r="AHD236" s="832"/>
      <c r="AHE236" s="832"/>
      <c r="AHF236" s="832"/>
      <c r="AHG236" s="832"/>
      <c r="AHH236" s="832"/>
      <c r="AHI236" s="832"/>
      <c r="AHJ236" s="832"/>
      <c r="AHK236" s="832"/>
      <c r="AHL236" s="832"/>
      <c r="AHM236" s="832"/>
      <c r="AHN236" s="832"/>
      <c r="AHO236" s="832"/>
      <c r="AHP236" s="832"/>
      <c r="AHQ236" s="832"/>
      <c r="AHR236" s="832"/>
      <c r="AHS236" s="832"/>
      <c r="AHT236" s="832"/>
      <c r="AHU236" s="832"/>
      <c r="AHV236" s="832"/>
      <c r="AHW236" s="832"/>
      <c r="AHX236" s="832"/>
      <c r="AHY236" s="832"/>
      <c r="AHZ236" s="832"/>
      <c r="AIA236" s="832"/>
      <c r="AIB236" s="832"/>
      <c r="AIC236" s="832"/>
      <c r="AID236" s="832"/>
      <c r="AIE236" s="832"/>
      <c r="AIF236" s="832"/>
      <c r="AIG236" s="832"/>
      <c r="AIH236" s="832"/>
      <c r="AII236" s="832"/>
      <c r="AIJ236" s="832"/>
      <c r="AIK236" s="832"/>
      <c r="AIL236" s="832"/>
      <c r="AIM236" s="832"/>
      <c r="AIN236" s="832"/>
      <c r="AIO236" s="832"/>
      <c r="AIP236" s="832"/>
      <c r="AIQ236" s="832"/>
      <c r="AIR236" s="832"/>
      <c r="AIS236" s="832"/>
      <c r="AIT236" s="832"/>
      <c r="AIU236" s="832"/>
      <c r="AIV236" s="832"/>
      <c r="AIW236" s="832"/>
      <c r="AIX236" s="832"/>
      <c r="AIY236" s="832"/>
      <c r="AIZ236" s="832"/>
      <c r="AJA236" s="832"/>
      <c r="AJB236" s="832"/>
      <c r="AJC236" s="832"/>
      <c r="AJD236" s="832"/>
      <c r="AJE236" s="832"/>
      <c r="AJF236" s="832"/>
      <c r="AJG236" s="832"/>
      <c r="AJH236" s="832"/>
      <c r="AJI236" s="832"/>
      <c r="AJJ236" s="832"/>
      <c r="AJK236" s="832"/>
      <c r="AJL236" s="832"/>
      <c r="AJM236" s="832"/>
      <c r="AJN236" s="832"/>
      <c r="AJO236" s="832"/>
      <c r="AJP236" s="832"/>
      <c r="AJQ236" s="832"/>
      <c r="AJR236" s="832"/>
      <c r="AJS236" s="832"/>
      <c r="AJT236" s="832"/>
      <c r="AJU236" s="832"/>
      <c r="AJV236" s="832"/>
      <c r="AJW236" s="832"/>
      <c r="AJX236" s="832"/>
      <c r="AJY236" s="832"/>
      <c r="AJZ236" s="832"/>
      <c r="AKA236" s="832"/>
      <c r="AKB236" s="832"/>
      <c r="AKC236" s="832"/>
      <c r="AKD236" s="832"/>
      <c r="AKE236" s="832"/>
      <c r="AKF236" s="832"/>
      <c r="AKG236" s="832"/>
      <c r="AKH236" s="832"/>
      <c r="AKI236" s="832"/>
      <c r="AKJ236" s="832"/>
      <c r="AKK236" s="832"/>
      <c r="AKL236" s="832"/>
      <c r="AKM236" s="832"/>
      <c r="AKN236" s="832"/>
      <c r="AKO236" s="832"/>
      <c r="AKP236" s="832"/>
      <c r="AKQ236" s="832"/>
      <c r="AKR236" s="832"/>
      <c r="AKS236" s="832"/>
      <c r="AKT236" s="832"/>
      <c r="AKU236" s="832"/>
      <c r="AKV236" s="832"/>
      <c r="AKW236" s="832"/>
      <c r="AKX236" s="832"/>
      <c r="AKY236" s="832"/>
      <c r="AKZ236" s="832"/>
      <c r="ALA236" s="832"/>
      <c r="ALB236" s="832"/>
      <c r="ALC236" s="832"/>
      <c r="ALD236" s="832"/>
      <c r="ALE236" s="832"/>
      <c r="ALF236" s="832"/>
      <c r="ALG236" s="832"/>
      <c r="ALH236" s="832"/>
      <c r="ALI236" s="832"/>
      <c r="ALJ236" s="832"/>
      <c r="ALK236" s="832"/>
      <c r="ALL236" s="832"/>
      <c r="ALM236" s="832"/>
      <c r="ALN236" s="832"/>
      <c r="ALO236" s="832"/>
      <c r="ALP236" s="832"/>
      <c r="ALQ236" s="832"/>
      <c r="ALR236" s="832"/>
      <c r="ALS236" s="832"/>
      <c r="ALT236" s="832"/>
      <c r="ALU236" s="832"/>
      <c r="ALV236" s="832"/>
      <c r="ALW236" s="832"/>
      <c r="ALX236" s="832"/>
      <c r="ALY236" s="832"/>
      <c r="ALZ236" s="832"/>
      <c r="AMA236" s="832"/>
      <c r="AMB236" s="832"/>
      <c r="AMC236" s="832"/>
      <c r="AMD236" s="832"/>
      <c r="AME236" s="832"/>
      <c r="AMF236" s="832"/>
      <c r="AMG236" s="832"/>
      <c r="AMH236" s="832"/>
      <c r="AMI236" s="832"/>
      <c r="AMJ236" s="832"/>
      <c r="AMK236" s="832"/>
      <c r="AML236" s="832"/>
    </row>
    <row r="237" spans="1:1026" s="388" customFormat="1" ht="35.1" customHeight="1" outlineLevel="1">
      <c r="A237" s="885"/>
      <c r="B237" s="444" t="s">
        <v>600</v>
      </c>
      <c r="C237" s="886" t="s">
        <v>601</v>
      </c>
      <c r="D237" s="448" t="s">
        <v>602</v>
      </c>
      <c r="E237" s="449" t="s">
        <v>60</v>
      </c>
      <c r="F237" s="992">
        <f>Plan1!D188</f>
        <v>4</v>
      </c>
      <c r="G237" s="925">
        <f t="shared" si="56"/>
        <v>252.8</v>
      </c>
      <c r="H237" s="889">
        <f t="shared" si="57"/>
        <v>1011.2</v>
      </c>
      <c r="I237" s="885"/>
      <c r="J237" s="915">
        <v>199.67</v>
      </c>
      <c r="K237" s="916">
        <f t="shared" si="55"/>
        <v>252.8</v>
      </c>
      <c r="L237" s="832"/>
      <c r="M237" s="832"/>
      <c r="N237" s="832"/>
      <c r="O237" s="832"/>
      <c r="P237" s="832"/>
      <c r="Q237" s="832"/>
      <c r="R237" s="832"/>
      <c r="S237" s="832"/>
      <c r="T237" s="832"/>
      <c r="U237" s="832"/>
      <c r="V237" s="832"/>
      <c r="W237" s="832"/>
      <c r="X237" s="832"/>
      <c r="Y237" s="832"/>
      <c r="Z237" s="832"/>
      <c r="AA237" s="832"/>
      <c r="AB237" s="832"/>
      <c r="AC237" s="832"/>
      <c r="AD237" s="832"/>
      <c r="AE237" s="832"/>
      <c r="AF237" s="832"/>
      <c r="AG237" s="832"/>
      <c r="AH237" s="832"/>
      <c r="AI237" s="832"/>
      <c r="AJ237" s="832"/>
      <c r="AK237" s="832"/>
      <c r="AL237" s="832"/>
      <c r="AM237" s="832"/>
      <c r="AN237" s="832"/>
      <c r="AO237" s="832"/>
      <c r="AP237" s="832"/>
      <c r="AQ237" s="832"/>
      <c r="AR237" s="832"/>
      <c r="AS237" s="832"/>
      <c r="AT237" s="832"/>
      <c r="AU237" s="832"/>
      <c r="AV237" s="832"/>
      <c r="AW237" s="832"/>
      <c r="AX237" s="832"/>
      <c r="AY237" s="832"/>
      <c r="AZ237" s="832"/>
      <c r="BA237" s="832"/>
      <c r="BB237" s="832"/>
      <c r="BC237" s="832"/>
      <c r="BD237" s="832"/>
      <c r="BE237" s="832"/>
      <c r="BF237" s="832"/>
      <c r="BG237" s="832"/>
      <c r="BH237" s="832"/>
      <c r="BI237" s="832"/>
      <c r="BJ237" s="832"/>
      <c r="BK237" s="832"/>
      <c r="BL237" s="832"/>
      <c r="BM237" s="832"/>
      <c r="BN237" s="832"/>
      <c r="BO237" s="832"/>
      <c r="BP237" s="832"/>
      <c r="BQ237" s="832"/>
      <c r="BR237" s="832"/>
      <c r="BS237" s="832"/>
      <c r="BT237" s="832"/>
      <c r="BU237" s="832"/>
      <c r="BV237" s="832"/>
      <c r="BW237" s="832"/>
      <c r="BX237" s="832"/>
      <c r="BY237" s="832"/>
      <c r="BZ237" s="832"/>
      <c r="CA237" s="832"/>
      <c r="CB237" s="832"/>
      <c r="CC237" s="832"/>
      <c r="CD237" s="832"/>
      <c r="CE237" s="832"/>
      <c r="CF237" s="832"/>
      <c r="CG237" s="832"/>
      <c r="CH237" s="832"/>
      <c r="CI237" s="832"/>
      <c r="CJ237" s="832"/>
      <c r="CK237" s="832"/>
      <c r="CL237" s="832"/>
      <c r="CM237" s="832"/>
      <c r="CN237" s="832"/>
      <c r="CO237" s="832"/>
      <c r="CP237" s="832"/>
      <c r="CQ237" s="832"/>
      <c r="CR237" s="832"/>
      <c r="CS237" s="832"/>
      <c r="CT237" s="832"/>
      <c r="CU237" s="832"/>
      <c r="CV237" s="832"/>
      <c r="CW237" s="832"/>
      <c r="CX237" s="832"/>
      <c r="CY237" s="832"/>
      <c r="CZ237" s="832"/>
      <c r="DA237" s="832"/>
      <c r="DB237" s="832"/>
      <c r="DC237" s="832"/>
      <c r="DD237" s="832"/>
      <c r="DE237" s="832"/>
      <c r="DF237" s="832"/>
      <c r="DG237" s="832"/>
      <c r="DH237" s="832"/>
      <c r="DI237" s="832"/>
      <c r="DJ237" s="832"/>
      <c r="DK237" s="832"/>
      <c r="DL237" s="832"/>
      <c r="DM237" s="832"/>
      <c r="DN237" s="832"/>
      <c r="DO237" s="832"/>
      <c r="DP237" s="832"/>
      <c r="DQ237" s="832"/>
      <c r="DR237" s="832"/>
      <c r="DS237" s="832"/>
      <c r="DT237" s="832"/>
      <c r="DU237" s="832"/>
      <c r="DV237" s="832"/>
      <c r="DW237" s="832"/>
      <c r="DX237" s="832"/>
      <c r="DY237" s="832"/>
      <c r="DZ237" s="832"/>
      <c r="EA237" s="832"/>
      <c r="EB237" s="832"/>
      <c r="EC237" s="832"/>
      <c r="ED237" s="832"/>
      <c r="EE237" s="832"/>
      <c r="EF237" s="832"/>
      <c r="EG237" s="832"/>
      <c r="EH237" s="832"/>
      <c r="EI237" s="832"/>
      <c r="EJ237" s="832"/>
      <c r="EK237" s="832"/>
      <c r="EL237" s="832"/>
      <c r="EM237" s="832"/>
      <c r="EN237" s="832"/>
      <c r="EO237" s="832"/>
      <c r="EP237" s="832"/>
      <c r="EQ237" s="832"/>
      <c r="ER237" s="832"/>
      <c r="ES237" s="832"/>
      <c r="ET237" s="832"/>
      <c r="EU237" s="832"/>
      <c r="EV237" s="832"/>
      <c r="EW237" s="832"/>
      <c r="EX237" s="832"/>
      <c r="EY237" s="832"/>
      <c r="EZ237" s="832"/>
      <c r="FA237" s="832"/>
      <c r="FB237" s="832"/>
      <c r="FC237" s="832"/>
      <c r="FD237" s="832"/>
      <c r="FE237" s="832"/>
      <c r="FF237" s="832"/>
      <c r="FG237" s="832"/>
      <c r="FH237" s="832"/>
      <c r="FI237" s="832"/>
      <c r="FJ237" s="832"/>
      <c r="FK237" s="832"/>
      <c r="FL237" s="832"/>
      <c r="FM237" s="832"/>
      <c r="FN237" s="832"/>
      <c r="FO237" s="832"/>
      <c r="FP237" s="832"/>
      <c r="FQ237" s="832"/>
      <c r="FR237" s="832"/>
      <c r="FS237" s="832"/>
      <c r="FT237" s="832"/>
      <c r="FU237" s="832"/>
      <c r="FV237" s="832"/>
      <c r="FW237" s="832"/>
      <c r="FX237" s="832"/>
      <c r="FY237" s="832"/>
      <c r="FZ237" s="832"/>
      <c r="GA237" s="832"/>
      <c r="GB237" s="832"/>
      <c r="GC237" s="832"/>
      <c r="GD237" s="832"/>
      <c r="GE237" s="832"/>
      <c r="GF237" s="832"/>
      <c r="GG237" s="832"/>
      <c r="GH237" s="832"/>
      <c r="GI237" s="832"/>
      <c r="GJ237" s="832"/>
      <c r="GK237" s="832"/>
      <c r="GL237" s="832"/>
      <c r="GM237" s="832"/>
      <c r="GN237" s="832"/>
      <c r="GO237" s="832"/>
      <c r="GP237" s="832"/>
      <c r="GQ237" s="832"/>
      <c r="GR237" s="832"/>
      <c r="GS237" s="832"/>
      <c r="GT237" s="832"/>
      <c r="GU237" s="832"/>
      <c r="GV237" s="832"/>
      <c r="GW237" s="832"/>
      <c r="GX237" s="832"/>
      <c r="GY237" s="832"/>
      <c r="GZ237" s="832"/>
      <c r="HA237" s="832"/>
      <c r="HB237" s="832"/>
      <c r="HC237" s="832"/>
      <c r="HD237" s="832"/>
      <c r="HE237" s="832"/>
      <c r="HF237" s="832"/>
      <c r="HG237" s="832"/>
      <c r="HH237" s="832"/>
      <c r="HI237" s="832"/>
      <c r="HJ237" s="832"/>
      <c r="HK237" s="832"/>
      <c r="HL237" s="832"/>
      <c r="HM237" s="832"/>
      <c r="HN237" s="832"/>
      <c r="HO237" s="832"/>
      <c r="HP237" s="832"/>
      <c r="HQ237" s="832"/>
      <c r="HR237" s="832"/>
      <c r="HS237" s="832"/>
      <c r="HT237" s="832"/>
      <c r="HU237" s="832"/>
      <c r="HV237" s="832"/>
      <c r="HW237" s="832"/>
      <c r="HX237" s="832"/>
      <c r="HY237" s="832"/>
      <c r="HZ237" s="832"/>
      <c r="IA237" s="832"/>
      <c r="IB237" s="832"/>
      <c r="IC237" s="832"/>
      <c r="ID237" s="832"/>
      <c r="IE237" s="832"/>
      <c r="IF237" s="832"/>
      <c r="IG237" s="832"/>
      <c r="IH237" s="832"/>
      <c r="II237" s="832"/>
      <c r="IJ237" s="832"/>
      <c r="IK237" s="832"/>
      <c r="IL237" s="832"/>
      <c r="IM237" s="832"/>
      <c r="IN237" s="832"/>
      <c r="IO237" s="832"/>
      <c r="IP237" s="832"/>
      <c r="IQ237" s="832"/>
      <c r="IR237" s="832"/>
      <c r="IS237" s="832"/>
      <c r="IT237" s="832"/>
      <c r="IU237" s="832"/>
      <c r="IV237" s="832"/>
      <c r="IW237" s="832"/>
      <c r="IX237" s="832"/>
      <c r="IY237" s="832"/>
      <c r="IZ237" s="832"/>
      <c r="JA237" s="832"/>
      <c r="JB237" s="832"/>
      <c r="JC237" s="832"/>
      <c r="JD237" s="832"/>
      <c r="JE237" s="832"/>
      <c r="JF237" s="832"/>
      <c r="JG237" s="832"/>
      <c r="JH237" s="832"/>
      <c r="JI237" s="832"/>
      <c r="JJ237" s="832"/>
      <c r="JK237" s="832"/>
      <c r="JL237" s="832"/>
      <c r="JM237" s="832"/>
      <c r="JN237" s="832"/>
      <c r="JO237" s="832"/>
      <c r="JP237" s="832"/>
      <c r="JQ237" s="832"/>
      <c r="JR237" s="832"/>
      <c r="JS237" s="832"/>
      <c r="JT237" s="832"/>
      <c r="JU237" s="832"/>
      <c r="JV237" s="832"/>
      <c r="JW237" s="832"/>
      <c r="JX237" s="832"/>
      <c r="JY237" s="832"/>
      <c r="JZ237" s="832"/>
      <c r="KA237" s="832"/>
      <c r="KB237" s="832"/>
      <c r="KC237" s="832"/>
      <c r="KD237" s="832"/>
      <c r="KE237" s="832"/>
      <c r="KF237" s="832"/>
      <c r="KG237" s="832"/>
      <c r="KH237" s="832"/>
      <c r="KI237" s="832"/>
      <c r="KJ237" s="832"/>
      <c r="KK237" s="832"/>
      <c r="KL237" s="832"/>
      <c r="KM237" s="832"/>
      <c r="KN237" s="832"/>
      <c r="KO237" s="832"/>
      <c r="KP237" s="832"/>
      <c r="KQ237" s="832"/>
      <c r="KR237" s="832"/>
      <c r="KS237" s="832"/>
      <c r="KT237" s="832"/>
      <c r="KU237" s="832"/>
      <c r="KV237" s="832"/>
      <c r="KW237" s="832"/>
      <c r="KX237" s="832"/>
      <c r="KY237" s="832"/>
      <c r="KZ237" s="832"/>
      <c r="LA237" s="832"/>
      <c r="LB237" s="832"/>
      <c r="LC237" s="832"/>
      <c r="LD237" s="832"/>
      <c r="LE237" s="832"/>
      <c r="LF237" s="832"/>
      <c r="LG237" s="832"/>
      <c r="LH237" s="832"/>
      <c r="LI237" s="832"/>
      <c r="LJ237" s="832"/>
      <c r="LK237" s="832"/>
      <c r="LL237" s="832"/>
      <c r="LM237" s="832"/>
      <c r="LN237" s="832"/>
      <c r="LO237" s="832"/>
      <c r="LP237" s="832"/>
      <c r="LQ237" s="832"/>
      <c r="LR237" s="832"/>
      <c r="LS237" s="832"/>
      <c r="LT237" s="832"/>
      <c r="LU237" s="832"/>
      <c r="LV237" s="832"/>
      <c r="LW237" s="832"/>
      <c r="LX237" s="832"/>
      <c r="LY237" s="832"/>
      <c r="LZ237" s="832"/>
      <c r="MA237" s="832"/>
      <c r="MB237" s="832"/>
      <c r="MC237" s="832"/>
      <c r="MD237" s="832"/>
      <c r="ME237" s="832"/>
      <c r="MF237" s="832"/>
      <c r="MG237" s="832"/>
      <c r="MH237" s="832"/>
      <c r="MI237" s="832"/>
      <c r="MJ237" s="832"/>
      <c r="MK237" s="832"/>
      <c r="ML237" s="832"/>
      <c r="MM237" s="832"/>
      <c r="MN237" s="832"/>
      <c r="MO237" s="832"/>
      <c r="MP237" s="832"/>
      <c r="MQ237" s="832"/>
      <c r="MR237" s="832"/>
      <c r="MS237" s="832"/>
      <c r="MT237" s="832"/>
      <c r="MU237" s="832"/>
      <c r="MV237" s="832"/>
      <c r="MW237" s="832"/>
      <c r="MX237" s="832"/>
      <c r="MY237" s="832"/>
      <c r="MZ237" s="832"/>
      <c r="NA237" s="832"/>
      <c r="NB237" s="832"/>
      <c r="NC237" s="832"/>
      <c r="ND237" s="832"/>
      <c r="NE237" s="832"/>
      <c r="NF237" s="832"/>
      <c r="NG237" s="832"/>
      <c r="NH237" s="832"/>
      <c r="NI237" s="832"/>
      <c r="NJ237" s="832"/>
      <c r="NK237" s="832"/>
      <c r="NL237" s="832"/>
      <c r="NM237" s="832"/>
      <c r="NN237" s="832"/>
      <c r="NO237" s="832"/>
      <c r="NP237" s="832"/>
      <c r="NQ237" s="832"/>
      <c r="NR237" s="832"/>
      <c r="NS237" s="832"/>
      <c r="NT237" s="832"/>
      <c r="NU237" s="832"/>
      <c r="NV237" s="832"/>
      <c r="NW237" s="832"/>
      <c r="NX237" s="832"/>
      <c r="NY237" s="832"/>
      <c r="NZ237" s="832"/>
      <c r="OA237" s="832"/>
      <c r="OB237" s="832"/>
      <c r="OC237" s="832"/>
      <c r="OD237" s="832"/>
      <c r="OE237" s="832"/>
      <c r="OF237" s="832"/>
      <c r="OG237" s="832"/>
      <c r="OH237" s="832"/>
      <c r="OI237" s="832"/>
      <c r="OJ237" s="832"/>
      <c r="OK237" s="832"/>
      <c r="OL237" s="832"/>
      <c r="OM237" s="832"/>
      <c r="ON237" s="832"/>
      <c r="OO237" s="832"/>
      <c r="OP237" s="832"/>
      <c r="OQ237" s="832"/>
      <c r="OR237" s="832"/>
      <c r="OS237" s="832"/>
      <c r="OT237" s="832"/>
      <c r="OU237" s="832"/>
      <c r="OV237" s="832"/>
      <c r="OW237" s="832"/>
      <c r="OX237" s="832"/>
      <c r="OY237" s="832"/>
      <c r="OZ237" s="832"/>
      <c r="PA237" s="832"/>
      <c r="PB237" s="832"/>
      <c r="PC237" s="832"/>
      <c r="PD237" s="832"/>
      <c r="PE237" s="832"/>
      <c r="PF237" s="832"/>
      <c r="PG237" s="832"/>
      <c r="PH237" s="832"/>
      <c r="PI237" s="832"/>
      <c r="PJ237" s="832"/>
      <c r="PK237" s="832"/>
      <c r="PL237" s="832"/>
      <c r="PM237" s="832"/>
      <c r="PN237" s="832"/>
      <c r="PO237" s="832"/>
      <c r="PP237" s="832"/>
      <c r="PQ237" s="832"/>
      <c r="PR237" s="832"/>
      <c r="PS237" s="832"/>
      <c r="PT237" s="832"/>
      <c r="PU237" s="832"/>
      <c r="PV237" s="832"/>
      <c r="PW237" s="832"/>
      <c r="PX237" s="832"/>
      <c r="PY237" s="832"/>
      <c r="PZ237" s="832"/>
      <c r="QA237" s="832"/>
      <c r="QB237" s="832"/>
      <c r="QC237" s="832"/>
      <c r="QD237" s="832"/>
      <c r="QE237" s="832"/>
      <c r="QF237" s="832"/>
      <c r="QG237" s="832"/>
      <c r="QH237" s="832"/>
      <c r="QI237" s="832"/>
      <c r="QJ237" s="832"/>
      <c r="QK237" s="832"/>
      <c r="QL237" s="832"/>
      <c r="QM237" s="832"/>
      <c r="QN237" s="832"/>
      <c r="QO237" s="832"/>
      <c r="QP237" s="832"/>
      <c r="QQ237" s="832"/>
      <c r="QR237" s="832"/>
      <c r="QS237" s="832"/>
      <c r="QT237" s="832"/>
      <c r="QU237" s="832"/>
      <c r="QV237" s="832"/>
      <c r="QW237" s="832"/>
      <c r="QX237" s="832"/>
      <c r="QY237" s="832"/>
      <c r="QZ237" s="832"/>
      <c r="RA237" s="832"/>
      <c r="RB237" s="832"/>
      <c r="RC237" s="832"/>
      <c r="RD237" s="832"/>
      <c r="RE237" s="832"/>
      <c r="RF237" s="832"/>
      <c r="RG237" s="832"/>
      <c r="RH237" s="832"/>
      <c r="RI237" s="832"/>
      <c r="RJ237" s="832"/>
      <c r="RK237" s="832"/>
      <c r="RL237" s="832"/>
      <c r="RM237" s="832"/>
      <c r="RN237" s="832"/>
      <c r="RO237" s="832"/>
      <c r="RP237" s="832"/>
      <c r="RQ237" s="832"/>
      <c r="RR237" s="832"/>
      <c r="RS237" s="832"/>
      <c r="RT237" s="832"/>
      <c r="RU237" s="832"/>
      <c r="RV237" s="832"/>
      <c r="RW237" s="832"/>
      <c r="RX237" s="832"/>
      <c r="RY237" s="832"/>
      <c r="RZ237" s="832"/>
      <c r="SA237" s="832"/>
      <c r="SB237" s="832"/>
      <c r="SC237" s="832"/>
      <c r="SD237" s="832"/>
      <c r="SE237" s="832"/>
      <c r="SF237" s="832"/>
      <c r="SG237" s="832"/>
      <c r="SH237" s="832"/>
      <c r="SI237" s="832"/>
      <c r="SJ237" s="832"/>
      <c r="SK237" s="832"/>
      <c r="SL237" s="832"/>
      <c r="SM237" s="832"/>
      <c r="SN237" s="832"/>
      <c r="SO237" s="832"/>
      <c r="SP237" s="832"/>
      <c r="SQ237" s="832"/>
      <c r="SR237" s="832"/>
      <c r="SS237" s="832"/>
      <c r="ST237" s="832"/>
      <c r="SU237" s="832"/>
      <c r="SV237" s="832"/>
      <c r="SW237" s="832"/>
      <c r="SX237" s="832"/>
      <c r="SY237" s="832"/>
      <c r="SZ237" s="832"/>
      <c r="TA237" s="832"/>
      <c r="TB237" s="832"/>
      <c r="TC237" s="832"/>
      <c r="TD237" s="832"/>
      <c r="TE237" s="832"/>
      <c r="TF237" s="832"/>
      <c r="TG237" s="832"/>
      <c r="TH237" s="832"/>
      <c r="TI237" s="832"/>
      <c r="TJ237" s="832"/>
      <c r="TK237" s="832"/>
      <c r="TL237" s="832"/>
      <c r="TM237" s="832"/>
      <c r="TN237" s="832"/>
      <c r="TO237" s="832"/>
      <c r="TP237" s="832"/>
      <c r="TQ237" s="832"/>
      <c r="TR237" s="832"/>
      <c r="TS237" s="832"/>
      <c r="TT237" s="832"/>
      <c r="TU237" s="832"/>
      <c r="TV237" s="832"/>
      <c r="TW237" s="832"/>
      <c r="TX237" s="832"/>
      <c r="TY237" s="832"/>
      <c r="TZ237" s="832"/>
      <c r="UA237" s="832"/>
      <c r="UB237" s="832"/>
      <c r="UC237" s="832"/>
      <c r="UD237" s="832"/>
      <c r="UE237" s="832"/>
      <c r="UF237" s="832"/>
      <c r="UG237" s="832"/>
      <c r="UH237" s="832"/>
      <c r="UI237" s="832"/>
      <c r="UJ237" s="832"/>
      <c r="UK237" s="832"/>
      <c r="UL237" s="832"/>
      <c r="UM237" s="832"/>
      <c r="UN237" s="832"/>
      <c r="UO237" s="832"/>
      <c r="UP237" s="832"/>
      <c r="UQ237" s="832"/>
      <c r="UR237" s="832"/>
      <c r="US237" s="832"/>
      <c r="UT237" s="832"/>
      <c r="UU237" s="832"/>
      <c r="UV237" s="832"/>
      <c r="UW237" s="832"/>
      <c r="UX237" s="832"/>
      <c r="UY237" s="832"/>
      <c r="UZ237" s="832"/>
      <c r="VA237" s="832"/>
      <c r="VB237" s="832"/>
      <c r="VC237" s="832"/>
      <c r="VD237" s="832"/>
      <c r="VE237" s="832"/>
      <c r="VF237" s="832"/>
      <c r="VG237" s="832"/>
      <c r="VH237" s="832"/>
      <c r="VI237" s="832"/>
      <c r="VJ237" s="832"/>
      <c r="VK237" s="832"/>
      <c r="VL237" s="832"/>
      <c r="VM237" s="832"/>
      <c r="VN237" s="832"/>
      <c r="VO237" s="832"/>
      <c r="VP237" s="832"/>
      <c r="VQ237" s="832"/>
      <c r="VR237" s="832"/>
      <c r="VS237" s="832"/>
      <c r="VT237" s="832"/>
      <c r="VU237" s="832"/>
      <c r="VV237" s="832"/>
      <c r="VW237" s="832"/>
      <c r="VX237" s="832"/>
      <c r="VY237" s="832"/>
      <c r="VZ237" s="832"/>
      <c r="WA237" s="832"/>
      <c r="WB237" s="832"/>
      <c r="WC237" s="832"/>
      <c r="WD237" s="832"/>
      <c r="WE237" s="832"/>
      <c r="WF237" s="832"/>
      <c r="WG237" s="832"/>
      <c r="WH237" s="832"/>
      <c r="WI237" s="832"/>
      <c r="WJ237" s="832"/>
      <c r="WK237" s="832"/>
      <c r="WL237" s="832"/>
      <c r="WM237" s="832"/>
      <c r="WN237" s="832"/>
      <c r="WO237" s="832"/>
      <c r="WP237" s="832"/>
      <c r="WQ237" s="832"/>
      <c r="WR237" s="832"/>
      <c r="WS237" s="832"/>
      <c r="WT237" s="832"/>
      <c r="WU237" s="832"/>
      <c r="WV237" s="832"/>
      <c r="WW237" s="832"/>
      <c r="WX237" s="832"/>
      <c r="WY237" s="832"/>
      <c r="WZ237" s="832"/>
      <c r="XA237" s="832"/>
      <c r="XB237" s="832"/>
      <c r="XC237" s="832"/>
      <c r="XD237" s="832"/>
      <c r="XE237" s="832"/>
      <c r="XF237" s="832"/>
      <c r="XG237" s="832"/>
      <c r="XH237" s="832"/>
      <c r="XI237" s="832"/>
      <c r="XJ237" s="832"/>
      <c r="XK237" s="832"/>
      <c r="XL237" s="832"/>
      <c r="XM237" s="832"/>
      <c r="XN237" s="832"/>
      <c r="XO237" s="832"/>
      <c r="XP237" s="832"/>
      <c r="XQ237" s="832"/>
      <c r="XR237" s="832"/>
      <c r="XS237" s="832"/>
      <c r="XT237" s="832"/>
      <c r="XU237" s="832"/>
      <c r="XV237" s="832"/>
      <c r="XW237" s="832"/>
      <c r="XX237" s="832"/>
      <c r="XY237" s="832"/>
      <c r="XZ237" s="832"/>
      <c r="YA237" s="832"/>
      <c r="YB237" s="832"/>
      <c r="YC237" s="832"/>
      <c r="YD237" s="832"/>
      <c r="YE237" s="832"/>
      <c r="YF237" s="832"/>
      <c r="YG237" s="832"/>
      <c r="YH237" s="832"/>
      <c r="YI237" s="832"/>
      <c r="YJ237" s="832"/>
      <c r="YK237" s="832"/>
      <c r="YL237" s="832"/>
      <c r="YM237" s="832"/>
      <c r="YN237" s="832"/>
      <c r="YO237" s="832"/>
      <c r="YP237" s="832"/>
      <c r="YQ237" s="832"/>
      <c r="YR237" s="832"/>
      <c r="YS237" s="832"/>
      <c r="YT237" s="832"/>
      <c r="YU237" s="832"/>
      <c r="YV237" s="832"/>
      <c r="YW237" s="832"/>
      <c r="YX237" s="832"/>
      <c r="YY237" s="832"/>
      <c r="YZ237" s="832"/>
      <c r="ZA237" s="832"/>
      <c r="ZB237" s="832"/>
      <c r="ZC237" s="832"/>
      <c r="ZD237" s="832"/>
      <c r="ZE237" s="832"/>
      <c r="ZF237" s="832"/>
      <c r="ZG237" s="832"/>
      <c r="ZH237" s="832"/>
      <c r="ZI237" s="832"/>
      <c r="ZJ237" s="832"/>
      <c r="ZK237" s="832"/>
      <c r="ZL237" s="832"/>
      <c r="ZM237" s="832"/>
      <c r="ZN237" s="832"/>
      <c r="ZO237" s="832"/>
      <c r="ZP237" s="832"/>
      <c r="ZQ237" s="832"/>
      <c r="ZR237" s="832"/>
      <c r="ZS237" s="832"/>
      <c r="ZT237" s="832"/>
      <c r="ZU237" s="832"/>
      <c r="ZV237" s="832"/>
      <c r="ZW237" s="832"/>
      <c r="ZX237" s="832"/>
      <c r="ZY237" s="832"/>
      <c r="ZZ237" s="832"/>
      <c r="AAA237" s="832"/>
      <c r="AAB237" s="832"/>
      <c r="AAC237" s="832"/>
      <c r="AAD237" s="832"/>
      <c r="AAE237" s="832"/>
      <c r="AAF237" s="832"/>
      <c r="AAG237" s="832"/>
      <c r="AAH237" s="832"/>
      <c r="AAI237" s="832"/>
      <c r="AAJ237" s="832"/>
      <c r="AAK237" s="832"/>
      <c r="AAL237" s="832"/>
      <c r="AAM237" s="832"/>
      <c r="AAN237" s="832"/>
      <c r="AAO237" s="832"/>
      <c r="AAP237" s="832"/>
      <c r="AAQ237" s="832"/>
      <c r="AAR237" s="832"/>
      <c r="AAS237" s="832"/>
      <c r="AAT237" s="832"/>
      <c r="AAU237" s="832"/>
      <c r="AAV237" s="832"/>
      <c r="AAW237" s="832"/>
      <c r="AAX237" s="832"/>
      <c r="AAY237" s="832"/>
      <c r="AAZ237" s="832"/>
      <c r="ABA237" s="832"/>
      <c r="ABB237" s="832"/>
      <c r="ABC237" s="832"/>
      <c r="ABD237" s="832"/>
      <c r="ABE237" s="832"/>
      <c r="ABF237" s="832"/>
      <c r="ABG237" s="832"/>
      <c r="ABH237" s="832"/>
      <c r="ABI237" s="832"/>
      <c r="ABJ237" s="832"/>
      <c r="ABK237" s="832"/>
      <c r="ABL237" s="832"/>
      <c r="ABM237" s="832"/>
      <c r="ABN237" s="832"/>
      <c r="ABO237" s="832"/>
      <c r="ABP237" s="832"/>
      <c r="ABQ237" s="832"/>
      <c r="ABR237" s="832"/>
      <c r="ABS237" s="832"/>
      <c r="ABT237" s="832"/>
      <c r="ABU237" s="832"/>
      <c r="ABV237" s="832"/>
      <c r="ABW237" s="832"/>
      <c r="ABX237" s="832"/>
      <c r="ABY237" s="832"/>
      <c r="ABZ237" s="832"/>
      <c r="ACA237" s="832"/>
      <c r="ACB237" s="832"/>
      <c r="ACC237" s="832"/>
      <c r="ACD237" s="832"/>
      <c r="ACE237" s="832"/>
      <c r="ACF237" s="832"/>
      <c r="ACG237" s="832"/>
      <c r="ACH237" s="832"/>
      <c r="ACI237" s="832"/>
      <c r="ACJ237" s="832"/>
      <c r="ACK237" s="832"/>
      <c r="ACL237" s="832"/>
      <c r="ACM237" s="832"/>
      <c r="ACN237" s="832"/>
      <c r="ACO237" s="832"/>
      <c r="ACP237" s="832"/>
      <c r="ACQ237" s="832"/>
      <c r="ACR237" s="832"/>
      <c r="ACS237" s="832"/>
      <c r="ACT237" s="832"/>
      <c r="ACU237" s="832"/>
      <c r="ACV237" s="832"/>
      <c r="ACW237" s="832"/>
      <c r="ACX237" s="832"/>
      <c r="ACY237" s="832"/>
      <c r="ACZ237" s="832"/>
      <c r="ADA237" s="832"/>
      <c r="ADB237" s="832"/>
      <c r="ADC237" s="832"/>
      <c r="ADD237" s="832"/>
      <c r="ADE237" s="832"/>
      <c r="ADF237" s="832"/>
      <c r="ADG237" s="832"/>
      <c r="ADH237" s="832"/>
      <c r="ADI237" s="832"/>
      <c r="ADJ237" s="832"/>
      <c r="ADK237" s="832"/>
      <c r="ADL237" s="832"/>
      <c r="ADM237" s="832"/>
      <c r="ADN237" s="832"/>
      <c r="ADO237" s="832"/>
      <c r="ADP237" s="832"/>
      <c r="ADQ237" s="832"/>
      <c r="ADR237" s="832"/>
      <c r="ADS237" s="832"/>
      <c r="ADT237" s="832"/>
      <c r="ADU237" s="832"/>
      <c r="ADV237" s="832"/>
      <c r="ADW237" s="832"/>
      <c r="ADX237" s="832"/>
      <c r="ADY237" s="832"/>
      <c r="ADZ237" s="832"/>
      <c r="AEA237" s="832"/>
      <c r="AEB237" s="832"/>
      <c r="AEC237" s="832"/>
      <c r="AED237" s="832"/>
      <c r="AEE237" s="832"/>
      <c r="AEF237" s="832"/>
      <c r="AEG237" s="832"/>
      <c r="AEH237" s="832"/>
      <c r="AEI237" s="832"/>
      <c r="AEJ237" s="832"/>
      <c r="AEK237" s="832"/>
      <c r="AEL237" s="832"/>
      <c r="AEM237" s="832"/>
      <c r="AEN237" s="832"/>
      <c r="AEO237" s="832"/>
      <c r="AEP237" s="832"/>
      <c r="AEQ237" s="832"/>
      <c r="AER237" s="832"/>
      <c r="AES237" s="832"/>
      <c r="AET237" s="832"/>
      <c r="AEU237" s="832"/>
      <c r="AEV237" s="832"/>
      <c r="AEW237" s="832"/>
      <c r="AEX237" s="832"/>
      <c r="AEY237" s="832"/>
      <c r="AEZ237" s="832"/>
      <c r="AFA237" s="832"/>
      <c r="AFB237" s="832"/>
      <c r="AFC237" s="832"/>
      <c r="AFD237" s="832"/>
      <c r="AFE237" s="832"/>
      <c r="AFF237" s="832"/>
      <c r="AFG237" s="832"/>
      <c r="AFH237" s="832"/>
      <c r="AFI237" s="832"/>
      <c r="AFJ237" s="832"/>
      <c r="AFK237" s="832"/>
      <c r="AFL237" s="832"/>
      <c r="AFM237" s="832"/>
      <c r="AFN237" s="832"/>
      <c r="AFO237" s="832"/>
      <c r="AFP237" s="832"/>
      <c r="AFQ237" s="832"/>
      <c r="AFR237" s="832"/>
      <c r="AFS237" s="832"/>
      <c r="AFT237" s="832"/>
      <c r="AFU237" s="832"/>
      <c r="AFV237" s="832"/>
      <c r="AFW237" s="832"/>
      <c r="AFX237" s="832"/>
      <c r="AFY237" s="832"/>
      <c r="AFZ237" s="832"/>
      <c r="AGA237" s="832"/>
      <c r="AGB237" s="832"/>
      <c r="AGC237" s="832"/>
      <c r="AGD237" s="832"/>
      <c r="AGE237" s="832"/>
      <c r="AGF237" s="832"/>
      <c r="AGG237" s="832"/>
      <c r="AGH237" s="832"/>
      <c r="AGI237" s="832"/>
      <c r="AGJ237" s="832"/>
      <c r="AGK237" s="832"/>
      <c r="AGL237" s="832"/>
      <c r="AGM237" s="832"/>
      <c r="AGN237" s="832"/>
      <c r="AGO237" s="832"/>
      <c r="AGP237" s="832"/>
      <c r="AGQ237" s="832"/>
      <c r="AGR237" s="832"/>
      <c r="AGS237" s="832"/>
      <c r="AGT237" s="832"/>
      <c r="AGU237" s="832"/>
      <c r="AGV237" s="832"/>
      <c r="AGW237" s="832"/>
      <c r="AGX237" s="832"/>
      <c r="AGY237" s="832"/>
      <c r="AGZ237" s="832"/>
      <c r="AHA237" s="832"/>
      <c r="AHB237" s="832"/>
      <c r="AHC237" s="832"/>
      <c r="AHD237" s="832"/>
      <c r="AHE237" s="832"/>
      <c r="AHF237" s="832"/>
      <c r="AHG237" s="832"/>
      <c r="AHH237" s="832"/>
      <c r="AHI237" s="832"/>
      <c r="AHJ237" s="832"/>
      <c r="AHK237" s="832"/>
      <c r="AHL237" s="832"/>
      <c r="AHM237" s="832"/>
      <c r="AHN237" s="832"/>
      <c r="AHO237" s="832"/>
      <c r="AHP237" s="832"/>
      <c r="AHQ237" s="832"/>
      <c r="AHR237" s="832"/>
      <c r="AHS237" s="832"/>
      <c r="AHT237" s="832"/>
      <c r="AHU237" s="832"/>
      <c r="AHV237" s="832"/>
      <c r="AHW237" s="832"/>
      <c r="AHX237" s="832"/>
      <c r="AHY237" s="832"/>
      <c r="AHZ237" s="832"/>
      <c r="AIA237" s="832"/>
      <c r="AIB237" s="832"/>
      <c r="AIC237" s="832"/>
      <c r="AID237" s="832"/>
      <c r="AIE237" s="832"/>
      <c r="AIF237" s="832"/>
      <c r="AIG237" s="832"/>
      <c r="AIH237" s="832"/>
      <c r="AII237" s="832"/>
      <c r="AIJ237" s="832"/>
      <c r="AIK237" s="832"/>
      <c r="AIL237" s="832"/>
      <c r="AIM237" s="832"/>
      <c r="AIN237" s="832"/>
      <c r="AIO237" s="832"/>
      <c r="AIP237" s="832"/>
      <c r="AIQ237" s="832"/>
      <c r="AIR237" s="832"/>
      <c r="AIS237" s="832"/>
      <c r="AIT237" s="832"/>
      <c r="AIU237" s="832"/>
      <c r="AIV237" s="832"/>
      <c r="AIW237" s="832"/>
      <c r="AIX237" s="832"/>
      <c r="AIY237" s="832"/>
      <c r="AIZ237" s="832"/>
      <c r="AJA237" s="832"/>
      <c r="AJB237" s="832"/>
      <c r="AJC237" s="832"/>
      <c r="AJD237" s="832"/>
      <c r="AJE237" s="832"/>
      <c r="AJF237" s="832"/>
      <c r="AJG237" s="832"/>
      <c r="AJH237" s="832"/>
      <c r="AJI237" s="832"/>
      <c r="AJJ237" s="832"/>
      <c r="AJK237" s="832"/>
      <c r="AJL237" s="832"/>
      <c r="AJM237" s="832"/>
      <c r="AJN237" s="832"/>
      <c r="AJO237" s="832"/>
      <c r="AJP237" s="832"/>
      <c r="AJQ237" s="832"/>
      <c r="AJR237" s="832"/>
      <c r="AJS237" s="832"/>
      <c r="AJT237" s="832"/>
      <c r="AJU237" s="832"/>
      <c r="AJV237" s="832"/>
      <c r="AJW237" s="832"/>
      <c r="AJX237" s="832"/>
      <c r="AJY237" s="832"/>
      <c r="AJZ237" s="832"/>
      <c r="AKA237" s="832"/>
      <c r="AKB237" s="832"/>
      <c r="AKC237" s="832"/>
      <c r="AKD237" s="832"/>
      <c r="AKE237" s="832"/>
      <c r="AKF237" s="832"/>
      <c r="AKG237" s="832"/>
      <c r="AKH237" s="832"/>
      <c r="AKI237" s="832"/>
      <c r="AKJ237" s="832"/>
      <c r="AKK237" s="832"/>
      <c r="AKL237" s="832"/>
      <c r="AKM237" s="832"/>
      <c r="AKN237" s="832"/>
      <c r="AKO237" s="832"/>
      <c r="AKP237" s="832"/>
      <c r="AKQ237" s="832"/>
      <c r="AKR237" s="832"/>
      <c r="AKS237" s="832"/>
      <c r="AKT237" s="832"/>
      <c r="AKU237" s="832"/>
      <c r="AKV237" s="832"/>
      <c r="AKW237" s="832"/>
      <c r="AKX237" s="832"/>
      <c r="AKY237" s="832"/>
      <c r="AKZ237" s="832"/>
      <c r="ALA237" s="832"/>
      <c r="ALB237" s="832"/>
      <c r="ALC237" s="832"/>
      <c r="ALD237" s="832"/>
      <c r="ALE237" s="832"/>
      <c r="ALF237" s="832"/>
      <c r="ALG237" s="832"/>
      <c r="ALH237" s="832"/>
      <c r="ALI237" s="832"/>
      <c r="ALJ237" s="832"/>
      <c r="ALK237" s="832"/>
      <c r="ALL237" s="832"/>
      <c r="ALM237" s="832"/>
      <c r="ALN237" s="832"/>
      <c r="ALO237" s="832"/>
      <c r="ALP237" s="832"/>
      <c r="ALQ237" s="832"/>
      <c r="ALR237" s="832"/>
      <c r="ALS237" s="832"/>
      <c r="ALT237" s="832"/>
      <c r="ALU237" s="832"/>
      <c r="ALV237" s="832"/>
      <c r="ALW237" s="832"/>
      <c r="ALX237" s="832"/>
      <c r="ALY237" s="832"/>
      <c r="ALZ237" s="832"/>
      <c r="AMA237" s="832"/>
      <c r="AMB237" s="832"/>
      <c r="AMC237" s="832"/>
      <c r="AMD237" s="832"/>
      <c r="AME237" s="832"/>
      <c r="AMF237" s="832"/>
      <c r="AMG237" s="832"/>
      <c r="AMH237" s="832"/>
      <c r="AMI237" s="832"/>
      <c r="AMJ237" s="832"/>
      <c r="AMK237" s="832"/>
      <c r="AML237" s="832"/>
    </row>
    <row r="238" spans="1:1026" s="388" customFormat="1" ht="35.1" customHeight="1" outlineLevel="1">
      <c r="A238" s="885"/>
      <c r="B238" s="444" t="s">
        <v>603</v>
      </c>
      <c r="C238" s="886" t="s">
        <v>604</v>
      </c>
      <c r="D238" s="451" t="s">
        <v>605</v>
      </c>
      <c r="E238" s="449" t="s">
        <v>60</v>
      </c>
      <c r="F238" s="992">
        <f>Plan1!D189</f>
        <v>4</v>
      </c>
      <c r="G238" s="925">
        <f t="shared" si="56"/>
        <v>188.76</v>
      </c>
      <c r="H238" s="889">
        <f t="shared" si="57"/>
        <v>755.04</v>
      </c>
      <c r="I238" s="885"/>
      <c r="J238" s="915">
        <f>composições!F1083</f>
        <v>149.08500000000001</v>
      </c>
      <c r="K238" s="916">
        <f t="shared" si="55"/>
        <v>188.76</v>
      </c>
      <c r="L238" s="832"/>
      <c r="M238" s="832"/>
      <c r="N238" s="832"/>
      <c r="O238" s="832"/>
      <c r="P238" s="832"/>
      <c r="Q238" s="832"/>
      <c r="R238" s="832"/>
      <c r="S238" s="832"/>
      <c r="T238" s="832"/>
      <c r="U238" s="832"/>
      <c r="V238" s="832"/>
      <c r="W238" s="832"/>
      <c r="X238" s="832"/>
      <c r="Y238" s="832"/>
      <c r="Z238" s="832"/>
      <c r="AA238" s="832"/>
      <c r="AB238" s="832"/>
      <c r="AC238" s="832"/>
      <c r="AD238" s="832"/>
      <c r="AE238" s="832"/>
      <c r="AF238" s="832"/>
      <c r="AG238" s="832"/>
      <c r="AH238" s="832"/>
      <c r="AI238" s="832"/>
      <c r="AJ238" s="832"/>
      <c r="AK238" s="832"/>
      <c r="AL238" s="832"/>
      <c r="AM238" s="832"/>
      <c r="AN238" s="832"/>
      <c r="AO238" s="832"/>
      <c r="AP238" s="832"/>
      <c r="AQ238" s="832"/>
      <c r="AR238" s="832"/>
      <c r="AS238" s="832"/>
      <c r="AT238" s="832"/>
      <c r="AU238" s="832"/>
      <c r="AV238" s="832"/>
      <c r="AW238" s="832"/>
      <c r="AX238" s="832"/>
      <c r="AY238" s="832"/>
      <c r="AZ238" s="832"/>
      <c r="BA238" s="832"/>
      <c r="BB238" s="832"/>
      <c r="BC238" s="832"/>
      <c r="BD238" s="832"/>
      <c r="BE238" s="832"/>
      <c r="BF238" s="832"/>
      <c r="BG238" s="832"/>
      <c r="BH238" s="832"/>
      <c r="BI238" s="832"/>
      <c r="BJ238" s="832"/>
      <c r="BK238" s="832"/>
      <c r="BL238" s="832"/>
      <c r="BM238" s="832"/>
      <c r="BN238" s="832"/>
      <c r="BO238" s="832"/>
      <c r="BP238" s="832"/>
      <c r="BQ238" s="832"/>
      <c r="BR238" s="832"/>
      <c r="BS238" s="832"/>
      <c r="BT238" s="832"/>
      <c r="BU238" s="832"/>
      <c r="BV238" s="832"/>
      <c r="BW238" s="832"/>
      <c r="BX238" s="832"/>
      <c r="BY238" s="832"/>
      <c r="BZ238" s="832"/>
      <c r="CA238" s="832"/>
      <c r="CB238" s="832"/>
      <c r="CC238" s="832"/>
      <c r="CD238" s="832"/>
      <c r="CE238" s="832"/>
      <c r="CF238" s="832"/>
      <c r="CG238" s="832"/>
      <c r="CH238" s="832"/>
      <c r="CI238" s="832"/>
      <c r="CJ238" s="832"/>
      <c r="CK238" s="832"/>
      <c r="CL238" s="832"/>
      <c r="CM238" s="832"/>
      <c r="CN238" s="832"/>
      <c r="CO238" s="832"/>
      <c r="CP238" s="832"/>
      <c r="CQ238" s="832"/>
      <c r="CR238" s="832"/>
      <c r="CS238" s="832"/>
      <c r="CT238" s="832"/>
      <c r="CU238" s="832"/>
      <c r="CV238" s="832"/>
      <c r="CW238" s="832"/>
      <c r="CX238" s="832"/>
      <c r="CY238" s="832"/>
      <c r="CZ238" s="832"/>
      <c r="DA238" s="832"/>
      <c r="DB238" s="832"/>
      <c r="DC238" s="832"/>
      <c r="DD238" s="832"/>
      <c r="DE238" s="832"/>
      <c r="DF238" s="832"/>
      <c r="DG238" s="832"/>
      <c r="DH238" s="832"/>
      <c r="DI238" s="832"/>
      <c r="DJ238" s="832"/>
      <c r="DK238" s="832"/>
      <c r="DL238" s="832"/>
      <c r="DM238" s="832"/>
      <c r="DN238" s="832"/>
      <c r="DO238" s="832"/>
      <c r="DP238" s="832"/>
      <c r="DQ238" s="832"/>
      <c r="DR238" s="832"/>
      <c r="DS238" s="832"/>
      <c r="DT238" s="832"/>
      <c r="DU238" s="832"/>
      <c r="DV238" s="832"/>
      <c r="DW238" s="832"/>
      <c r="DX238" s="832"/>
      <c r="DY238" s="832"/>
      <c r="DZ238" s="832"/>
      <c r="EA238" s="832"/>
      <c r="EB238" s="832"/>
      <c r="EC238" s="832"/>
      <c r="ED238" s="832"/>
      <c r="EE238" s="832"/>
      <c r="EF238" s="832"/>
      <c r="EG238" s="832"/>
      <c r="EH238" s="832"/>
      <c r="EI238" s="832"/>
      <c r="EJ238" s="832"/>
      <c r="EK238" s="832"/>
      <c r="EL238" s="832"/>
      <c r="EM238" s="832"/>
      <c r="EN238" s="832"/>
      <c r="EO238" s="832"/>
      <c r="EP238" s="832"/>
      <c r="EQ238" s="832"/>
      <c r="ER238" s="832"/>
      <c r="ES238" s="832"/>
      <c r="ET238" s="832"/>
      <c r="EU238" s="832"/>
      <c r="EV238" s="832"/>
      <c r="EW238" s="832"/>
      <c r="EX238" s="832"/>
      <c r="EY238" s="832"/>
      <c r="EZ238" s="832"/>
      <c r="FA238" s="832"/>
      <c r="FB238" s="832"/>
      <c r="FC238" s="832"/>
      <c r="FD238" s="832"/>
      <c r="FE238" s="832"/>
      <c r="FF238" s="832"/>
      <c r="FG238" s="832"/>
      <c r="FH238" s="832"/>
      <c r="FI238" s="832"/>
      <c r="FJ238" s="832"/>
      <c r="FK238" s="832"/>
      <c r="FL238" s="832"/>
      <c r="FM238" s="832"/>
      <c r="FN238" s="832"/>
      <c r="FO238" s="832"/>
      <c r="FP238" s="832"/>
      <c r="FQ238" s="832"/>
      <c r="FR238" s="832"/>
      <c r="FS238" s="832"/>
      <c r="FT238" s="832"/>
      <c r="FU238" s="832"/>
      <c r="FV238" s="832"/>
      <c r="FW238" s="832"/>
      <c r="FX238" s="832"/>
      <c r="FY238" s="832"/>
      <c r="FZ238" s="832"/>
      <c r="GA238" s="832"/>
      <c r="GB238" s="832"/>
      <c r="GC238" s="832"/>
      <c r="GD238" s="832"/>
      <c r="GE238" s="832"/>
      <c r="GF238" s="832"/>
      <c r="GG238" s="832"/>
      <c r="GH238" s="832"/>
      <c r="GI238" s="832"/>
      <c r="GJ238" s="832"/>
      <c r="GK238" s="832"/>
      <c r="GL238" s="832"/>
      <c r="GM238" s="832"/>
      <c r="GN238" s="832"/>
      <c r="GO238" s="832"/>
      <c r="GP238" s="832"/>
      <c r="GQ238" s="832"/>
      <c r="GR238" s="832"/>
      <c r="GS238" s="832"/>
      <c r="GT238" s="832"/>
      <c r="GU238" s="832"/>
      <c r="GV238" s="832"/>
      <c r="GW238" s="832"/>
      <c r="GX238" s="832"/>
      <c r="GY238" s="832"/>
      <c r="GZ238" s="832"/>
      <c r="HA238" s="832"/>
      <c r="HB238" s="832"/>
      <c r="HC238" s="832"/>
      <c r="HD238" s="832"/>
      <c r="HE238" s="832"/>
      <c r="HF238" s="832"/>
      <c r="HG238" s="832"/>
      <c r="HH238" s="832"/>
      <c r="HI238" s="832"/>
      <c r="HJ238" s="832"/>
      <c r="HK238" s="832"/>
      <c r="HL238" s="832"/>
      <c r="HM238" s="832"/>
      <c r="HN238" s="832"/>
      <c r="HO238" s="832"/>
      <c r="HP238" s="832"/>
      <c r="HQ238" s="832"/>
      <c r="HR238" s="832"/>
      <c r="HS238" s="832"/>
      <c r="HT238" s="832"/>
      <c r="HU238" s="832"/>
      <c r="HV238" s="832"/>
      <c r="HW238" s="832"/>
      <c r="HX238" s="832"/>
      <c r="HY238" s="832"/>
      <c r="HZ238" s="832"/>
      <c r="IA238" s="832"/>
      <c r="IB238" s="832"/>
      <c r="IC238" s="832"/>
      <c r="ID238" s="832"/>
      <c r="IE238" s="832"/>
      <c r="IF238" s="832"/>
      <c r="IG238" s="832"/>
      <c r="IH238" s="832"/>
      <c r="II238" s="832"/>
      <c r="IJ238" s="832"/>
      <c r="IK238" s="832"/>
      <c r="IL238" s="832"/>
      <c r="IM238" s="832"/>
      <c r="IN238" s="832"/>
      <c r="IO238" s="832"/>
      <c r="IP238" s="832"/>
      <c r="IQ238" s="832"/>
      <c r="IR238" s="832"/>
      <c r="IS238" s="832"/>
      <c r="IT238" s="832"/>
      <c r="IU238" s="832"/>
      <c r="IV238" s="832"/>
      <c r="IW238" s="832"/>
      <c r="IX238" s="832"/>
      <c r="IY238" s="832"/>
      <c r="IZ238" s="832"/>
      <c r="JA238" s="832"/>
      <c r="JB238" s="832"/>
      <c r="JC238" s="832"/>
      <c r="JD238" s="832"/>
      <c r="JE238" s="832"/>
      <c r="JF238" s="832"/>
      <c r="JG238" s="832"/>
      <c r="JH238" s="832"/>
      <c r="JI238" s="832"/>
      <c r="JJ238" s="832"/>
      <c r="JK238" s="832"/>
      <c r="JL238" s="832"/>
      <c r="JM238" s="832"/>
      <c r="JN238" s="832"/>
      <c r="JO238" s="832"/>
      <c r="JP238" s="832"/>
      <c r="JQ238" s="832"/>
      <c r="JR238" s="832"/>
      <c r="JS238" s="832"/>
      <c r="JT238" s="832"/>
      <c r="JU238" s="832"/>
      <c r="JV238" s="832"/>
      <c r="JW238" s="832"/>
      <c r="JX238" s="832"/>
      <c r="JY238" s="832"/>
      <c r="JZ238" s="832"/>
      <c r="KA238" s="832"/>
      <c r="KB238" s="832"/>
      <c r="KC238" s="832"/>
      <c r="KD238" s="832"/>
      <c r="KE238" s="832"/>
      <c r="KF238" s="832"/>
      <c r="KG238" s="832"/>
      <c r="KH238" s="832"/>
      <c r="KI238" s="832"/>
      <c r="KJ238" s="832"/>
      <c r="KK238" s="832"/>
      <c r="KL238" s="832"/>
      <c r="KM238" s="832"/>
      <c r="KN238" s="832"/>
      <c r="KO238" s="832"/>
      <c r="KP238" s="832"/>
      <c r="KQ238" s="832"/>
      <c r="KR238" s="832"/>
      <c r="KS238" s="832"/>
      <c r="KT238" s="832"/>
      <c r="KU238" s="832"/>
      <c r="KV238" s="832"/>
      <c r="KW238" s="832"/>
      <c r="KX238" s="832"/>
      <c r="KY238" s="832"/>
      <c r="KZ238" s="832"/>
      <c r="LA238" s="832"/>
      <c r="LB238" s="832"/>
      <c r="LC238" s="832"/>
      <c r="LD238" s="832"/>
      <c r="LE238" s="832"/>
      <c r="LF238" s="832"/>
      <c r="LG238" s="832"/>
      <c r="LH238" s="832"/>
      <c r="LI238" s="832"/>
      <c r="LJ238" s="832"/>
      <c r="LK238" s="832"/>
      <c r="LL238" s="832"/>
      <c r="LM238" s="832"/>
      <c r="LN238" s="832"/>
      <c r="LO238" s="832"/>
      <c r="LP238" s="832"/>
      <c r="LQ238" s="832"/>
      <c r="LR238" s="832"/>
      <c r="LS238" s="832"/>
      <c r="LT238" s="832"/>
      <c r="LU238" s="832"/>
      <c r="LV238" s="832"/>
      <c r="LW238" s="832"/>
      <c r="LX238" s="832"/>
      <c r="LY238" s="832"/>
      <c r="LZ238" s="832"/>
      <c r="MA238" s="832"/>
      <c r="MB238" s="832"/>
      <c r="MC238" s="832"/>
      <c r="MD238" s="832"/>
      <c r="ME238" s="832"/>
      <c r="MF238" s="832"/>
      <c r="MG238" s="832"/>
      <c r="MH238" s="832"/>
      <c r="MI238" s="832"/>
      <c r="MJ238" s="832"/>
      <c r="MK238" s="832"/>
      <c r="ML238" s="832"/>
      <c r="MM238" s="832"/>
      <c r="MN238" s="832"/>
      <c r="MO238" s="832"/>
      <c r="MP238" s="832"/>
      <c r="MQ238" s="832"/>
      <c r="MR238" s="832"/>
      <c r="MS238" s="832"/>
      <c r="MT238" s="832"/>
      <c r="MU238" s="832"/>
      <c r="MV238" s="832"/>
      <c r="MW238" s="832"/>
      <c r="MX238" s="832"/>
      <c r="MY238" s="832"/>
      <c r="MZ238" s="832"/>
      <c r="NA238" s="832"/>
      <c r="NB238" s="832"/>
      <c r="NC238" s="832"/>
      <c r="ND238" s="832"/>
      <c r="NE238" s="832"/>
      <c r="NF238" s="832"/>
      <c r="NG238" s="832"/>
      <c r="NH238" s="832"/>
      <c r="NI238" s="832"/>
      <c r="NJ238" s="832"/>
      <c r="NK238" s="832"/>
      <c r="NL238" s="832"/>
      <c r="NM238" s="832"/>
      <c r="NN238" s="832"/>
      <c r="NO238" s="832"/>
      <c r="NP238" s="832"/>
      <c r="NQ238" s="832"/>
      <c r="NR238" s="832"/>
      <c r="NS238" s="832"/>
      <c r="NT238" s="832"/>
      <c r="NU238" s="832"/>
      <c r="NV238" s="832"/>
      <c r="NW238" s="832"/>
      <c r="NX238" s="832"/>
      <c r="NY238" s="832"/>
      <c r="NZ238" s="832"/>
      <c r="OA238" s="832"/>
      <c r="OB238" s="832"/>
      <c r="OC238" s="832"/>
      <c r="OD238" s="832"/>
      <c r="OE238" s="832"/>
      <c r="OF238" s="832"/>
      <c r="OG238" s="832"/>
      <c r="OH238" s="832"/>
      <c r="OI238" s="832"/>
      <c r="OJ238" s="832"/>
      <c r="OK238" s="832"/>
      <c r="OL238" s="832"/>
      <c r="OM238" s="832"/>
      <c r="ON238" s="832"/>
      <c r="OO238" s="832"/>
      <c r="OP238" s="832"/>
      <c r="OQ238" s="832"/>
      <c r="OR238" s="832"/>
      <c r="OS238" s="832"/>
      <c r="OT238" s="832"/>
      <c r="OU238" s="832"/>
      <c r="OV238" s="832"/>
      <c r="OW238" s="832"/>
      <c r="OX238" s="832"/>
      <c r="OY238" s="832"/>
      <c r="OZ238" s="832"/>
      <c r="PA238" s="832"/>
      <c r="PB238" s="832"/>
      <c r="PC238" s="832"/>
      <c r="PD238" s="832"/>
      <c r="PE238" s="832"/>
      <c r="PF238" s="832"/>
      <c r="PG238" s="832"/>
      <c r="PH238" s="832"/>
      <c r="PI238" s="832"/>
      <c r="PJ238" s="832"/>
      <c r="PK238" s="832"/>
      <c r="PL238" s="832"/>
      <c r="PM238" s="832"/>
      <c r="PN238" s="832"/>
      <c r="PO238" s="832"/>
      <c r="PP238" s="832"/>
      <c r="PQ238" s="832"/>
      <c r="PR238" s="832"/>
      <c r="PS238" s="832"/>
      <c r="PT238" s="832"/>
      <c r="PU238" s="832"/>
      <c r="PV238" s="832"/>
      <c r="PW238" s="832"/>
      <c r="PX238" s="832"/>
      <c r="PY238" s="832"/>
      <c r="PZ238" s="832"/>
      <c r="QA238" s="832"/>
      <c r="QB238" s="832"/>
      <c r="QC238" s="832"/>
      <c r="QD238" s="832"/>
      <c r="QE238" s="832"/>
      <c r="QF238" s="832"/>
      <c r="QG238" s="832"/>
      <c r="QH238" s="832"/>
      <c r="QI238" s="832"/>
      <c r="QJ238" s="832"/>
      <c r="QK238" s="832"/>
      <c r="QL238" s="832"/>
      <c r="QM238" s="832"/>
      <c r="QN238" s="832"/>
      <c r="QO238" s="832"/>
      <c r="QP238" s="832"/>
      <c r="QQ238" s="832"/>
      <c r="QR238" s="832"/>
      <c r="QS238" s="832"/>
      <c r="QT238" s="832"/>
      <c r="QU238" s="832"/>
      <c r="QV238" s="832"/>
      <c r="QW238" s="832"/>
      <c r="QX238" s="832"/>
      <c r="QY238" s="832"/>
      <c r="QZ238" s="832"/>
      <c r="RA238" s="832"/>
      <c r="RB238" s="832"/>
      <c r="RC238" s="832"/>
      <c r="RD238" s="832"/>
      <c r="RE238" s="832"/>
      <c r="RF238" s="832"/>
      <c r="RG238" s="832"/>
      <c r="RH238" s="832"/>
      <c r="RI238" s="832"/>
      <c r="RJ238" s="832"/>
      <c r="RK238" s="832"/>
      <c r="RL238" s="832"/>
      <c r="RM238" s="832"/>
      <c r="RN238" s="832"/>
      <c r="RO238" s="832"/>
      <c r="RP238" s="832"/>
      <c r="RQ238" s="832"/>
      <c r="RR238" s="832"/>
      <c r="RS238" s="832"/>
      <c r="RT238" s="832"/>
      <c r="RU238" s="832"/>
      <c r="RV238" s="832"/>
      <c r="RW238" s="832"/>
      <c r="RX238" s="832"/>
      <c r="RY238" s="832"/>
      <c r="RZ238" s="832"/>
      <c r="SA238" s="832"/>
      <c r="SB238" s="832"/>
      <c r="SC238" s="832"/>
      <c r="SD238" s="832"/>
      <c r="SE238" s="832"/>
      <c r="SF238" s="832"/>
      <c r="SG238" s="832"/>
      <c r="SH238" s="832"/>
      <c r="SI238" s="832"/>
      <c r="SJ238" s="832"/>
      <c r="SK238" s="832"/>
      <c r="SL238" s="832"/>
      <c r="SM238" s="832"/>
      <c r="SN238" s="832"/>
      <c r="SO238" s="832"/>
      <c r="SP238" s="832"/>
      <c r="SQ238" s="832"/>
      <c r="SR238" s="832"/>
      <c r="SS238" s="832"/>
      <c r="ST238" s="832"/>
      <c r="SU238" s="832"/>
      <c r="SV238" s="832"/>
      <c r="SW238" s="832"/>
      <c r="SX238" s="832"/>
      <c r="SY238" s="832"/>
      <c r="SZ238" s="832"/>
      <c r="TA238" s="832"/>
      <c r="TB238" s="832"/>
      <c r="TC238" s="832"/>
      <c r="TD238" s="832"/>
      <c r="TE238" s="832"/>
      <c r="TF238" s="832"/>
      <c r="TG238" s="832"/>
      <c r="TH238" s="832"/>
      <c r="TI238" s="832"/>
      <c r="TJ238" s="832"/>
      <c r="TK238" s="832"/>
      <c r="TL238" s="832"/>
      <c r="TM238" s="832"/>
      <c r="TN238" s="832"/>
      <c r="TO238" s="832"/>
      <c r="TP238" s="832"/>
      <c r="TQ238" s="832"/>
      <c r="TR238" s="832"/>
      <c r="TS238" s="832"/>
      <c r="TT238" s="832"/>
      <c r="TU238" s="832"/>
      <c r="TV238" s="832"/>
      <c r="TW238" s="832"/>
      <c r="TX238" s="832"/>
      <c r="TY238" s="832"/>
      <c r="TZ238" s="832"/>
      <c r="UA238" s="832"/>
      <c r="UB238" s="832"/>
      <c r="UC238" s="832"/>
      <c r="UD238" s="832"/>
      <c r="UE238" s="832"/>
      <c r="UF238" s="832"/>
      <c r="UG238" s="832"/>
      <c r="UH238" s="832"/>
      <c r="UI238" s="832"/>
      <c r="UJ238" s="832"/>
      <c r="UK238" s="832"/>
      <c r="UL238" s="832"/>
      <c r="UM238" s="832"/>
      <c r="UN238" s="832"/>
      <c r="UO238" s="832"/>
      <c r="UP238" s="832"/>
      <c r="UQ238" s="832"/>
      <c r="UR238" s="832"/>
      <c r="US238" s="832"/>
      <c r="UT238" s="832"/>
      <c r="UU238" s="832"/>
      <c r="UV238" s="832"/>
      <c r="UW238" s="832"/>
      <c r="UX238" s="832"/>
      <c r="UY238" s="832"/>
      <c r="UZ238" s="832"/>
      <c r="VA238" s="832"/>
      <c r="VB238" s="832"/>
      <c r="VC238" s="832"/>
      <c r="VD238" s="832"/>
      <c r="VE238" s="832"/>
      <c r="VF238" s="832"/>
      <c r="VG238" s="832"/>
      <c r="VH238" s="832"/>
      <c r="VI238" s="832"/>
      <c r="VJ238" s="832"/>
      <c r="VK238" s="832"/>
      <c r="VL238" s="832"/>
      <c r="VM238" s="832"/>
      <c r="VN238" s="832"/>
      <c r="VO238" s="832"/>
      <c r="VP238" s="832"/>
      <c r="VQ238" s="832"/>
      <c r="VR238" s="832"/>
      <c r="VS238" s="832"/>
      <c r="VT238" s="832"/>
      <c r="VU238" s="832"/>
      <c r="VV238" s="832"/>
      <c r="VW238" s="832"/>
      <c r="VX238" s="832"/>
      <c r="VY238" s="832"/>
      <c r="VZ238" s="832"/>
      <c r="WA238" s="832"/>
      <c r="WB238" s="832"/>
      <c r="WC238" s="832"/>
      <c r="WD238" s="832"/>
      <c r="WE238" s="832"/>
      <c r="WF238" s="832"/>
      <c r="WG238" s="832"/>
      <c r="WH238" s="832"/>
      <c r="WI238" s="832"/>
      <c r="WJ238" s="832"/>
      <c r="WK238" s="832"/>
      <c r="WL238" s="832"/>
      <c r="WM238" s="832"/>
      <c r="WN238" s="832"/>
      <c r="WO238" s="832"/>
      <c r="WP238" s="832"/>
      <c r="WQ238" s="832"/>
      <c r="WR238" s="832"/>
      <c r="WS238" s="832"/>
      <c r="WT238" s="832"/>
      <c r="WU238" s="832"/>
      <c r="WV238" s="832"/>
      <c r="WW238" s="832"/>
      <c r="WX238" s="832"/>
      <c r="WY238" s="832"/>
      <c r="WZ238" s="832"/>
      <c r="XA238" s="832"/>
      <c r="XB238" s="832"/>
      <c r="XC238" s="832"/>
      <c r="XD238" s="832"/>
      <c r="XE238" s="832"/>
      <c r="XF238" s="832"/>
      <c r="XG238" s="832"/>
      <c r="XH238" s="832"/>
      <c r="XI238" s="832"/>
      <c r="XJ238" s="832"/>
      <c r="XK238" s="832"/>
      <c r="XL238" s="832"/>
      <c r="XM238" s="832"/>
      <c r="XN238" s="832"/>
      <c r="XO238" s="832"/>
      <c r="XP238" s="832"/>
      <c r="XQ238" s="832"/>
      <c r="XR238" s="832"/>
      <c r="XS238" s="832"/>
      <c r="XT238" s="832"/>
      <c r="XU238" s="832"/>
      <c r="XV238" s="832"/>
      <c r="XW238" s="832"/>
      <c r="XX238" s="832"/>
      <c r="XY238" s="832"/>
      <c r="XZ238" s="832"/>
      <c r="YA238" s="832"/>
      <c r="YB238" s="832"/>
      <c r="YC238" s="832"/>
      <c r="YD238" s="832"/>
      <c r="YE238" s="832"/>
      <c r="YF238" s="832"/>
      <c r="YG238" s="832"/>
      <c r="YH238" s="832"/>
      <c r="YI238" s="832"/>
      <c r="YJ238" s="832"/>
      <c r="YK238" s="832"/>
      <c r="YL238" s="832"/>
      <c r="YM238" s="832"/>
      <c r="YN238" s="832"/>
      <c r="YO238" s="832"/>
      <c r="YP238" s="832"/>
      <c r="YQ238" s="832"/>
      <c r="YR238" s="832"/>
      <c r="YS238" s="832"/>
      <c r="YT238" s="832"/>
      <c r="YU238" s="832"/>
      <c r="YV238" s="832"/>
      <c r="YW238" s="832"/>
      <c r="YX238" s="832"/>
      <c r="YY238" s="832"/>
      <c r="YZ238" s="832"/>
      <c r="ZA238" s="832"/>
      <c r="ZB238" s="832"/>
      <c r="ZC238" s="832"/>
      <c r="ZD238" s="832"/>
      <c r="ZE238" s="832"/>
      <c r="ZF238" s="832"/>
      <c r="ZG238" s="832"/>
      <c r="ZH238" s="832"/>
      <c r="ZI238" s="832"/>
      <c r="ZJ238" s="832"/>
      <c r="ZK238" s="832"/>
      <c r="ZL238" s="832"/>
      <c r="ZM238" s="832"/>
      <c r="ZN238" s="832"/>
      <c r="ZO238" s="832"/>
      <c r="ZP238" s="832"/>
      <c r="ZQ238" s="832"/>
      <c r="ZR238" s="832"/>
      <c r="ZS238" s="832"/>
      <c r="ZT238" s="832"/>
      <c r="ZU238" s="832"/>
      <c r="ZV238" s="832"/>
      <c r="ZW238" s="832"/>
      <c r="ZX238" s="832"/>
      <c r="ZY238" s="832"/>
      <c r="ZZ238" s="832"/>
      <c r="AAA238" s="832"/>
      <c r="AAB238" s="832"/>
      <c r="AAC238" s="832"/>
      <c r="AAD238" s="832"/>
      <c r="AAE238" s="832"/>
      <c r="AAF238" s="832"/>
      <c r="AAG238" s="832"/>
      <c r="AAH238" s="832"/>
      <c r="AAI238" s="832"/>
      <c r="AAJ238" s="832"/>
      <c r="AAK238" s="832"/>
      <c r="AAL238" s="832"/>
      <c r="AAM238" s="832"/>
      <c r="AAN238" s="832"/>
      <c r="AAO238" s="832"/>
      <c r="AAP238" s="832"/>
      <c r="AAQ238" s="832"/>
      <c r="AAR238" s="832"/>
      <c r="AAS238" s="832"/>
      <c r="AAT238" s="832"/>
      <c r="AAU238" s="832"/>
      <c r="AAV238" s="832"/>
      <c r="AAW238" s="832"/>
      <c r="AAX238" s="832"/>
      <c r="AAY238" s="832"/>
      <c r="AAZ238" s="832"/>
      <c r="ABA238" s="832"/>
      <c r="ABB238" s="832"/>
      <c r="ABC238" s="832"/>
      <c r="ABD238" s="832"/>
      <c r="ABE238" s="832"/>
      <c r="ABF238" s="832"/>
      <c r="ABG238" s="832"/>
      <c r="ABH238" s="832"/>
      <c r="ABI238" s="832"/>
      <c r="ABJ238" s="832"/>
      <c r="ABK238" s="832"/>
      <c r="ABL238" s="832"/>
      <c r="ABM238" s="832"/>
      <c r="ABN238" s="832"/>
      <c r="ABO238" s="832"/>
      <c r="ABP238" s="832"/>
      <c r="ABQ238" s="832"/>
      <c r="ABR238" s="832"/>
      <c r="ABS238" s="832"/>
      <c r="ABT238" s="832"/>
      <c r="ABU238" s="832"/>
      <c r="ABV238" s="832"/>
      <c r="ABW238" s="832"/>
      <c r="ABX238" s="832"/>
      <c r="ABY238" s="832"/>
      <c r="ABZ238" s="832"/>
      <c r="ACA238" s="832"/>
      <c r="ACB238" s="832"/>
      <c r="ACC238" s="832"/>
      <c r="ACD238" s="832"/>
      <c r="ACE238" s="832"/>
      <c r="ACF238" s="832"/>
      <c r="ACG238" s="832"/>
      <c r="ACH238" s="832"/>
      <c r="ACI238" s="832"/>
      <c r="ACJ238" s="832"/>
      <c r="ACK238" s="832"/>
      <c r="ACL238" s="832"/>
      <c r="ACM238" s="832"/>
      <c r="ACN238" s="832"/>
      <c r="ACO238" s="832"/>
      <c r="ACP238" s="832"/>
      <c r="ACQ238" s="832"/>
      <c r="ACR238" s="832"/>
      <c r="ACS238" s="832"/>
      <c r="ACT238" s="832"/>
      <c r="ACU238" s="832"/>
      <c r="ACV238" s="832"/>
      <c r="ACW238" s="832"/>
      <c r="ACX238" s="832"/>
      <c r="ACY238" s="832"/>
      <c r="ACZ238" s="832"/>
      <c r="ADA238" s="832"/>
      <c r="ADB238" s="832"/>
      <c r="ADC238" s="832"/>
      <c r="ADD238" s="832"/>
      <c r="ADE238" s="832"/>
      <c r="ADF238" s="832"/>
      <c r="ADG238" s="832"/>
      <c r="ADH238" s="832"/>
      <c r="ADI238" s="832"/>
      <c r="ADJ238" s="832"/>
      <c r="ADK238" s="832"/>
      <c r="ADL238" s="832"/>
      <c r="ADM238" s="832"/>
      <c r="ADN238" s="832"/>
      <c r="ADO238" s="832"/>
      <c r="ADP238" s="832"/>
      <c r="ADQ238" s="832"/>
      <c r="ADR238" s="832"/>
      <c r="ADS238" s="832"/>
      <c r="ADT238" s="832"/>
      <c r="ADU238" s="832"/>
      <c r="ADV238" s="832"/>
      <c r="ADW238" s="832"/>
      <c r="ADX238" s="832"/>
      <c r="ADY238" s="832"/>
      <c r="ADZ238" s="832"/>
      <c r="AEA238" s="832"/>
      <c r="AEB238" s="832"/>
      <c r="AEC238" s="832"/>
      <c r="AED238" s="832"/>
      <c r="AEE238" s="832"/>
      <c r="AEF238" s="832"/>
      <c r="AEG238" s="832"/>
      <c r="AEH238" s="832"/>
      <c r="AEI238" s="832"/>
      <c r="AEJ238" s="832"/>
      <c r="AEK238" s="832"/>
      <c r="AEL238" s="832"/>
      <c r="AEM238" s="832"/>
      <c r="AEN238" s="832"/>
      <c r="AEO238" s="832"/>
      <c r="AEP238" s="832"/>
      <c r="AEQ238" s="832"/>
      <c r="AER238" s="832"/>
      <c r="AES238" s="832"/>
      <c r="AET238" s="832"/>
      <c r="AEU238" s="832"/>
      <c r="AEV238" s="832"/>
      <c r="AEW238" s="832"/>
      <c r="AEX238" s="832"/>
      <c r="AEY238" s="832"/>
      <c r="AEZ238" s="832"/>
      <c r="AFA238" s="832"/>
      <c r="AFB238" s="832"/>
      <c r="AFC238" s="832"/>
      <c r="AFD238" s="832"/>
      <c r="AFE238" s="832"/>
      <c r="AFF238" s="832"/>
      <c r="AFG238" s="832"/>
      <c r="AFH238" s="832"/>
      <c r="AFI238" s="832"/>
      <c r="AFJ238" s="832"/>
      <c r="AFK238" s="832"/>
      <c r="AFL238" s="832"/>
      <c r="AFM238" s="832"/>
      <c r="AFN238" s="832"/>
      <c r="AFO238" s="832"/>
      <c r="AFP238" s="832"/>
      <c r="AFQ238" s="832"/>
      <c r="AFR238" s="832"/>
      <c r="AFS238" s="832"/>
      <c r="AFT238" s="832"/>
      <c r="AFU238" s="832"/>
      <c r="AFV238" s="832"/>
      <c r="AFW238" s="832"/>
      <c r="AFX238" s="832"/>
      <c r="AFY238" s="832"/>
      <c r="AFZ238" s="832"/>
      <c r="AGA238" s="832"/>
      <c r="AGB238" s="832"/>
      <c r="AGC238" s="832"/>
      <c r="AGD238" s="832"/>
      <c r="AGE238" s="832"/>
      <c r="AGF238" s="832"/>
      <c r="AGG238" s="832"/>
      <c r="AGH238" s="832"/>
      <c r="AGI238" s="832"/>
      <c r="AGJ238" s="832"/>
      <c r="AGK238" s="832"/>
      <c r="AGL238" s="832"/>
      <c r="AGM238" s="832"/>
      <c r="AGN238" s="832"/>
      <c r="AGO238" s="832"/>
      <c r="AGP238" s="832"/>
      <c r="AGQ238" s="832"/>
      <c r="AGR238" s="832"/>
      <c r="AGS238" s="832"/>
      <c r="AGT238" s="832"/>
      <c r="AGU238" s="832"/>
      <c r="AGV238" s="832"/>
      <c r="AGW238" s="832"/>
      <c r="AGX238" s="832"/>
      <c r="AGY238" s="832"/>
      <c r="AGZ238" s="832"/>
      <c r="AHA238" s="832"/>
      <c r="AHB238" s="832"/>
      <c r="AHC238" s="832"/>
      <c r="AHD238" s="832"/>
      <c r="AHE238" s="832"/>
      <c r="AHF238" s="832"/>
      <c r="AHG238" s="832"/>
      <c r="AHH238" s="832"/>
      <c r="AHI238" s="832"/>
      <c r="AHJ238" s="832"/>
      <c r="AHK238" s="832"/>
      <c r="AHL238" s="832"/>
      <c r="AHM238" s="832"/>
      <c r="AHN238" s="832"/>
      <c r="AHO238" s="832"/>
      <c r="AHP238" s="832"/>
      <c r="AHQ238" s="832"/>
      <c r="AHR238" s="832"/>
      <c r="AHS238" s="832"/>
      <c r="AHT238" s="832"/>
      <c r="AHU238" s="832"/>
      <c r="AHV238" s="832"/>
      <c r="AHW238" s="832"/>
      <c r="AHX238" s="832"/>
      <c r="AHY238" s="832"/>
      <c r="AHZ238" s="832"/>
      <c r="AIA238" s="832"/>
      <c r="AIB238" s="832"/>
      <c r="AIC238" s="832"/>
      <c r="AID238" s="832"/>
      <c r="AIE238" s="832"/>
      <c r="AIF238" s="832"/>
      <c r="AIG238" s="832"/>
      <c r="AIH238" s="832"/>
      <c r="AII238" s="832"/>
      <c r="AIJ238" s="832"/>
      <c r="AIK238" s="832"/>
      <c r="AIL238" s="832"/>
      <c r="AIM238" s="832"/>
      <c r="AIN238" s="832"/>
      <c r="AIO238" s="832"/>
      <c r="AIP238" s="832"/>
      <c r="AIQ238" s="832"/>
      <c r="AIR238" s="832"/>
      <c r="AIS238" s="832"/>
      <c r="AIT238" s="832"/>
      <c r="AIU238" s="832"/>
      <c r="AIV238" s="832"/>
      <c r="AIW238" s="832"/>
      <c r="AIX238" s="832"/>
      <c r="AIY238" s="832"/>
      <c r="AIZ238" s="832"/>
      <c r="AJA238" s="832"/>
      <c r="AJB238" s="832"/>
      <c r="AJC238" s="832"/>
      <c r="AJD238" s="832"/>
      <c r="AJE238" s="832"/>
      <c r="AJF238" s="832"/>
      <c r="AJG238" s="832"/>
      <c r="AJH238" s="832"/>
      <c r="AJI238" s="832"/>
      <c r="AJJ238" s="832"/>
      <c r="AJK238" s="832"/>
      <c r="AJL238" s="832"/>
      <c r="AJM238" s="832"/>
      <c r="AJN238" s="832"/>
      <c r="AJO238" s="832"/>
      <c r="AJP238" s="832"/>
      <c r="AJQ238" s="832"/>
      <c r="AJR238" s="832"/>
      <c r="AJS238" s="832"/>
      <c r="AJT238" s="832"/>
      <c r="AJU238" s="832"/>
      <c r="AJV238" s="832"/>
      <c r="AJW238" s="832"/>
      <c r="AJX238" s="832"/>
      <c r="AJY238" s="832"/>
      <c r="AJZ238" s="832"/>
      <c r="AKA238" s="832"/>
      <c r="AKB238" s="832"/>
      <c r="AKC238" s="832"/>
      <c r="AKD238" s="832"/>
      <c r="AKE238" s="832"/>
      <c r="AKF238" s="832"/>
      <c r="AKG238" s="832"/>
      <c r="AKH238" s="832"/>
      <c r="AKI238" s="832"/>
      <c r="AKJ238" s="832"/>
      <c r="AKK238" s="832"/>
      <c r="AKL238" s="832"/>
      <c r="AKM238" s="832"/>
      <c r="AKN238" s="832"/>
      <c r="AKO238" s="832"/>
      <c r="AKP238" s="832"/>
      <c r="AKQ238" s="832"/>
      <c r="AKR238" s="832"/>
      <c r="AKS238" s="832"/>
      <c r="AKT238" s="832"/>
      <c r="AKU238" s="832"/>
      <c r="AKV238" s="832"/>
      <c r="AKW238" s="832"/>
      <c r="AKX238" s="832"/>
      <c r="AKY238" s="832"/>
      <c r="AKZ238" s="832"/>
      <c r="ALA238" s="832"/>
      <c r="ALB238" s="832"/>
      <c r="ALC238" s="832"/>
      <c r="ALD238" s="832"/>
      <c r="ALE238" s="832"/>
      <c r="ALF238" s="832"/>
      <c r="ALG238" s="832"/>
      <c r="ALH238" s="832"/>
      <c r="ALI238" s="832"/>
      <c r="ALJ238" s="832"/>
      <c r="ALK238" s="832"/>
      <c r="ALL238" s="832"/>
      <c r="ALM238" s="832"/>
      <c r="ALN238" s="832"/>
      <c r="ALO238" s="832"/>
      <c r="ALP238" s="832"/>
      <c r="ALQ238" s="832"/>
      <c r="ALR238" s="832"/>
      <c r="ALS238" s="832"/>
      <c r="ALT238" s="832"/>
      <c r="ALU238" s="832"/>
      <c r="ALV238" s="832"/>
      <c r="ALW238" s="832"/>
      <c r="ALX238" s="832"/>
      <c r="ALY238" s="832"/>
      <c r="ALZ238" s="832"/>
      <c r="AMA238" s="832"/>
      <c r="AMB238" s="832"/>
      <c r="AMC238" s="832"/>
      <c r="AMD238" s="832"/>
      <c r="AME238" s="832"/>
      <c r="AMF238" s="832"/>
      <c r="AMG238" s="832"/>
      <c r="AMH238" s="832"/>
      <c r="AMI238" s="832"/>
      <c r="AMJ238" s="832"/>
      <c r="AMK238" s="832"/>
      <c r="AML238" s="832"/>
    </row>
    <row r="239" spans="1:1026" ht="35.1" customHeight="1" outlineLevel="1">
      <c r="A239" s="844"/>
      <c r="B239" s="444" t="s">
        <v>606</v>
      </c>
      <c r="C239" s="879" t="s">
        <v>607</v>
      </c>
      <c r="D239" s="443" t="s">
        <v>608</v>
      </c>
      <c r="E239" s="444" t="s">
        <v>60</v>
      </c>
      <c r="F239" s="987">
        <f>Plan1!D190</f>
        <v>15</v>
      </c>
      <c r="G239" s="893">
        <f t="shared" si="56"/>
        <v>85.39</v>
      </c>
      <c r="H239" s="883">
        <f t="shared" si="57"/>
        <v>1280.8499999999999</v>
      </c>
      <c r="I239" s="844"/>
      <c r="J239" s="841">
        <v>67.44</v>
      </c>
      <c r="K239" s="842">
        <f t="shared" si="55"/>
        <v>85.39</v>
      </c>
    </row>
    <row r="240" spans="1:1026" ht="55.5" customHeight="1" outlineLevel="1">
      <c r="A240" s="844"/>
      <c r="B240" s="444" t="s">
        <v>609</v>
      </c>
      <c r="C240" s="879" t="s">
        <v>610</v>
      </c>
      <c r="D240" s="443" t="s">
        <v>611</v>
      </c>
      <c r="E240" s="444" t="s">
        <v>60</v>
      </c>
      <c r="F240" s="987">
        <f>Plan1!D191</f>
        <v>3</v>
      </c>
      <c r="G240" s="893">
        <f t="shared" si="56"/>
        <v>2066.0300000000002</v>
      </c>
      <c r="H240" s="883">
        <f t="shared" si="57"/>
        <v>6198.09</v>
      </c>
      <c r="I240" s="844"/>
      <c r="J240" s="841">
        <v>1631.81</v>
      </c>
      <c r="K240" s="842">
        <f t="shared" si="55"/>
        <v>2066.0300000000002</v>
      </c>
    </row>
    <row r="241" spans="1:11" ht="24.95" customHeight="1">
      <c r="A241" s="844"/>
      <c r="B241" s="875" t="s">
        <v>612</v>
      </c>
      <c r="C241" s="875"/>
      <c r="D241" s="447" t="s">
        <v>613</v>
      </c>
      <c r="E241" s="422"/>
      <c r="F241" s="971"/>
      <c r="G241" s="877"/>
      <c r="H241" s="878"/>
      <c r="I241" s="844"/>
    </row>
    <row r="242" spans="1:11" ht="39" customHeight="1" outlineLevel="1">
      <c r="A242" s="844"/>
      <c r="B242" s="444" t="s">
        <v>614</v>
      </c>
      <c r="C242" s="879" t="s">
        <v>615</v>
      </c>
      <c r="D242" s="448" t="s">
        <v>616</v>
      </c>
      <c r="E242" s="444" t="s">
        <v>27</v>
      </c>
      <c r="F242" s="987">
        <f>'BANCADAS E SOLEIRAS'!G22</f>
        <v>47.62</v>
      </c>
      <c r="G242" s="893">
        <f t="shared" ref="G242" si="58">K242</f>
        <v>455.89</v>
      </c>
      <c r="H242" s="883">
        <f t="shared" ref="H242" si="59">F242*G242</f>
        <v>21709.481799999998</v>
      </c>
      <c r="I242" s="844"/>
      <c r="J242" s="841">
        <v>348.27</v>
      </c>
      <c r="K242" s="842">
        <v>455.89</v>
      </c>
    </row>
    <row r="243" spans="1:11" ht="32.1" customHeight="1" outlineLevel="1">
      <c r="A243" s="844"/>
      <c r="B243" s="444" t="s">
        <v>617</v>
      </c>
      <c r="C243" s="886" t="s">
        <v>618</v>
      </c>
      <c r="D243" s="448" t="s">
        <v>619</v>
      </c>
      <c r="E243" s="449" t="s">
        <v>38</v>
      </c>
      <c r="F243" s="992">
        <f>Plan1!D194</f>
        <v>6</v>
      </c>
      <c r="G243" s="893">
        <f t="shared" ref="G243" si="60">K243</f>
        <v>320.39999999999998</v>
      </c>
      <c r="H243" s="883">
        <f t="shared" ref="H243" si="61">F243*G243</f>
        <v>1922.3999999999999</v>
      </c>
      <c r="I243" s="844"/>
      <c r="J243" s="841">
        <v>253.06</v>
      </c>
      <c r="K243" s="842">
        <f t="shared" ref="K243" si="62">ROUND(J243*(1+$H$14),2)</f>
        <v>320.39999999999998</v>
      </c>
    </row>
    <row r="244" spans="1:11" ht="24.95" customHeight="1">
      <c r="A244" s="844"/>
      <c r="B244" s="875">
        <v>18</v>
      </c>
      <c r="C244" s="875"/>
      <c r="D244" s="447" t="s">
        <v>620</v>
      </c>
      <c r="E244" s="422"/>
      <c r="F244" s="971"/>
      <c r="G244" s="877"/>
      <c r="H244" s="878"/>
      <c r="I244" s="844"/>
    </row>
    <row r="245" spans="1:11" s="832" customFormat="1" ht="53.1" customHeight="1" outlineLevel="1">
      <c r="A245" s="885"/>
      <c r="B245" s="968" t="s">
        <v>621</v>
      </c>
      <c r="C245" s="969" t="s">
        <v>622</v>
      </c>
      <c r="D245" s="419" t="s">
        <v>623</v>
      </c>
      <c r="E245" s="420" t="s">
        <v>60</v>
      </c>
      <c r="F245" s="970">
        <f>Plan1!D196</f>
        <v>3</v>
      </c>
      <c r="G245" s="925">
        <f t="shared" ref="G245:G272" si="63">K245</f>
        <v>1655.81</v>
      </c>
      <c r="H245" s="889">
        <f t="shared" ref="H245:H272" si="64">F245*G245</f>
        <v>4967.43</v>
      </c>
      <c r="I245" s="885"/>
      <c r="J245" s="994">
        <v>1307.8</v>
      </c>
      <c r="K245" s="916">
        <f t="shared" ref="K245:K272" si="65">ROUND(J245*(1+$H$14),2)</f>
        <v>1655.81</v>
      </c>
    </row>
    <row r="246" spans="1:11" s="832" customFormat="1" ht="35.1" customHeight="1" outlineLevel="1">
      <c r="A246" s="885"/>
      <c r="B246" s="968" t="s">
        <v>624</v>
      </c>
      <c r="C246" s="963" t="s">
        <v>625</v>
      </c>
      <c r="D246" s="413" t="s">
        <v>626</v>
      </c>
      <c r="E246" s="414" t="s">
        <v>38</v>
      </c>
      <c r="F246" s="964">
        <f>Plan1!D197</f>
        <v>52</v>
      </c>
      <c r="G246" s="925">
        <f t="shared" si="63"/>
        <v>166.87</v>
      </c>
      <c r="H246" s="889">
        <f t="shared" si="64"/>
        <v>8677.24</v>
      </c>
      <c r="I246" s="885"/>
      <c r="J246" s="981">
        <v>131.80000000000001</v>
      </c>
      <c r="K246" s="916">
        <f t="shared" si="65"/>
        <v>166.87</v>
      </c>
    </row>
    <row r="247" spans="1:11" s="832" customFormat="1" ht="35.1" customHeight="1" outlineLevel="1">
      <c r="A247" s="885"/>
      <c r="B247" s="968" t="s">
        <v>627</v>
      </c>
      <c r="C247" s="963" t="s">
        <v>628</v>
      </c>
      <c r="D247" s="413" t="s">
        <v>629</v>
      </c>
      <c r="E247" s="414" t="s">
        <v>60</v>
      </c>
      <c r="F247" s="964">
        <f>Plan1!D198</f>
        <v>1</v>
      </c>
      <c r="G247" s="925">
        <f t="shared" si="63"/>
        <v>193.16</v>
      </c>
      <c r="H247" s="889">
        <f t="shared" si="64"/>
        <v>193.16</v>
      </c>
      <c r="I247" s="885"/>
      <c r="J247" s="981">
        <v>152.56</v>
      </c>
      <c r="K247" s="916">
        <f t="shared" si="65"/>
        <v>193.16</v>
      </c>
    </row>
    <row r="248" spans="1:11" s="832" customFormat="1" ht="35.1" customHeight="1" outlineLevel="1">
      <c r="A248" s="885"/>
      <c r="B248" s="968" t="s">
        <v>630</v>
      </c>
      <c r="C248" s="963" t="s">
        <v>631</v>
      </c>
      <c r="D248" s="421" t="s">
        <v>632</v>
      </c>
      <c r="E248" s="414" t="s">
        <v>60</v>
      </c>
      <c r="F248" s="964">
        <f>Plan1!D199</f>
        <v>4</v>
      </c>
      <c r="G248" s="925">
        <f t="shared" si="63"/>
        <v>170</v>
      </c>
      <c r="H248" s="889">
        <f t="shared" si="64"/>
        <v>680</v>
      </c>
      <c r="I248" s="885"/>
      <c r="J248" s="981">
        <v>134.27000000000001</v>
      </c>
      <c r="K248" s="916">
        <f t="shared" si="65"/>
        <v>170</v>
      </c>
    </row>
    <row r="249" spans="1:11" s="832" customFormat="1" ht="35.1" customHeight="1" outlineLevel="1">
      <c r="A249" s="885"/>
      <c r="B249" s="968" t="s">
        <v>633</v>
      </c>
      <c r="C249" s="963" t="s">
        <v>634</v>
      </c>
      <c r="D249" s="452" t="s">
        <v>635</v>
      </c>
      <c r="E249" s="414" t="s">
        <v>60</v>
      </c>
      <c r="F249" s="964">
        <f>Plan1!D200</f>
        <v>1</v>
      </c>
      <c r="G249" s="925">
        <f t="shared" si="63"/>
        <v>525.09</v>
      </c>
      <c r="H249" s="889">
        <f t="shared" si="64"/>
        <v>525.09</v>
      </c>
      <c r="I249" s="885"/>
      <c r="J249" s="982">
        <v>414.73</v>
      </c>
      <c r="K249" s="916">
        <f t="shared" si="65"/>
        <v>525.09</v>
      </c>
    </row>
    <row r="250" spans="1:11" s="832" customFormat="1" ht="35.1" customHeight="1" outlineLevel="1">
      <c r="A250" s="885"/>
      <c r="B250" s="968" t="s">
        <v>636</v>
      </c>
      <c r="C250" s="963" t="s">
        <v>637</v>
      </c>
      <c r="D250" s="421" t="s">
        <v>638</v>
      </c>
      <c r="E250" s="414" t="s">
        <v>60</v>
      </c>
      <c r="F250" s="964">
        <f>Plan1!D201</f>
        <v>10</v>
      </c>
      <c r="G250" s="925">
        <f t="shared" si="63"/>
        <v>33.79</v>
      </c>
      <c r="H250" s="889">
        <f t="shared" si="64"/>
        <v>337.9</v>
      </c>
      <c r="I250" s="885"/>
      <c r="J250" s="981">
        <v>26.69</v>
      </c>
      <c r="K250" s="916">
        <f t="shared" si="65"/>
        <v>33.79</v>
      </c>
    </row>
    <row r="251" spans="1:11" s="832" customFormat="1" ht="35.1" customHeight="1" outlineLevel="1">
      <c r="A251" s="885"/>
      <c r="B251" s="968" t="s">
        <v>639</v>
      </c>
      <c r="C251" s="963" t="s">
        <v>640</v>
      </c>
      <c r="D251" s="421" t="s">
        <v>641</v>
      </c>
      <c r="E251" s="414" t="s">
        <v>60</v>
      </c>
      <c r="F251" s="964">
        <f>Plan1!D202</f>
        <v>10</v>
      </c>
      <c r="G251" s="925">
        <f t="shared" si="63"/>
        <v>243.36</v>
      </c>
      <c r="H251" s="889">
        <f t="shared" si="64"/>
        <v>2433.6000000000004</v>
      </c>
      <c r="I251" s="885"/>
      <c r="J251" s="981">
        <v>192.21</v>
      </c>
      <c r="K251" s="916">
        <f t="shared" si="65"/>
        <v>243.36</v>
      </c>
    </row>
    <row r="252" spans="1:11" s="832" customFormat="1" ht="30" outlineLevel="1">
      <c r="A252" s="885"/>
      <c r="B252" s="968" t="s">
        <v>642</v>
      </c>
      <c r="C252" s="963" t="s">
        <v>643</v>
      </c>
      <c r="D252" s="453" t="s">
        <v>644</v>
      </c>
      <c r="E252" s="414" t="s">
        <v>60</v>
      </c>
      <c r="F252" s="964">
        <f>Plan1!D203</f>
        <v>1</v>
      </c>
      <c r="G252" s="925">
        <f t="shared" si="63"/>
        <v>703.85</v>
      </c>
      <c r="H252" s="889">
        <f t="shared" si="64"/>
        <v>703.85</v>
      </c>
      <c r="I252" s="885"/>
      <c r="J252" s="981">
        <v>555.91999999999996</v>
      </c>
      <c r="K252" s="916">
        <f t="shared" si="65"/>
        <v>703.85</v>
      </c>
    </row>
    <row r="253" spans="1:11" s="832" customFormat="1" ht="51.95" customHeight="1" outlineLevel="1">
      <c r="A253" s="885"/>
      <c r="B253" s="968" t="s">
        <v>645</v>
      </c>
      <c r="C253" s="963" t="s">
        <v>646</v>
      </c>
      <c r="D253" s="452" t="s">
        <v>647</v>
      </c>
      <c r="E253" s="414" t="s">
        <v>60</v>
      </c>
      <c r="F253" s="964">
        <f>Plan1!D204</f>
        <v>8</v>
      </c>
      <c r="G253" s="925">
        <f t="shared" si="63"/>
        <v>234.71</v>
      </c>
      <c r="H253" s="889">
        <f t="shared" si="64"/>
        <v>1877.68</v>
      </c>
      <c r="I253" s="885"/>
      <c r="J253" s="981">
        <v>185.38</v>
      </c>
      <c r="K253" s="916">
        <f t="shared" si="65"/>
        <v>234.71</v>
      </c>
    </row>
    <row r="254" spans="1:11" s="832" customFormat="1" ht="35.1" customHeight="1" outlineLevel="1">
      <c r="A254" s="885"/>
      <c r="B254" s="968" t="s">
        <v>648</v>
      </c>
      <c r="C254" s="969" t="s">
        <v>649</v>
      </c>
      <c r="D254" s="454" t="s">
        <v>650</v>
      </c>
      <c r="E254" s="420" t="s">
        <v>60</v>
      </c>
      <c r="F254" s="970">
        <f>Plan1!D205</f>
        <v>29</v>
      </c>
      <c r="G254" s="925">
        <f t="shared" si="63"/>
        <v>38.25</v>
      </c>
      <c r="H254" s="889">
        <f t="shared" si="64"/>
        <v>1109.25</v>
      </c>
      <c r="I254" s="885"/>
      <c r="J254" s="982">
        <v>30.21</v>
      </c>
      <c r="K254" s="916">
        <f t="shared" si="65"/>
        <v>38.25</v>
      </c>
    </row>
    <row r="255" spans="1:11" s="832" customFormat="1" ht="27.95" customHeight="1" outlineLevel="1">
      <c r="A255" s="885"/>
      <c r="B255" s="968" t="s">
        <v>651</v>
      </c>
      <c r="C255" s="414" t="s">
        <v>652</v>
      </c>
      <c r="D255" s="455" t="s">
        <v>653</v>
      </c>
      <c r="E255" s="414" t="s">
        <v>60</v>
      </c>
      <c r="F255" s="964">
        <f>Plan1!D206</f>
        <v>5</v>
      </c>
      <c r="G255" s="925">
        <f t="shared" si="63"/>
        <v>150.63</v>
      </c>
      <c r="H255" s="889">
        <f t="shared" si="64"/>
        <v>753.15</v>
      </c>
      <c r="I255" s="885"/>
      <c r="J255" s="981">
        <v>118.97</v>
      </c>
      <c r="K255" s="916">
        <f t="shared" si="65"/>
        <v>150.63</v>
      </c>
    </row>
    <row r="256" spans="1:11" s="832" customFormat="1" ht="47.1" customHeight="1" outlineLevel="1">
      <c r="A256" s="885"/>
      <c r="B256" s="968" t="s">
        <v>654</v>
      </c>
      <c r="C256" s="963" t="s">
        <v>622</v>
      </c>
      <c r="D256" s="421" t="s">
        <v>623</v>
      </c>
      <c r="E256" s="414" t="s">
        <v>60</v>
      </c>
      <c r="F256" s="964">
        <f>Plan1!D207</f>
        <v>5</v>
      </c>
      <c r="G256" s="925">
        <f t="shared" si="63"/>
        <v>1655.81</v>
      </c>
      <c r="H256" s="889">
        <f t="shared" si="64"/>
        <v>8279.0499999999993</v>
      </c>
      <c r="I256" s="885"/>
      <c r="J256" s="981">
        <v>1307.8</v>
      </c>
      <c r="K256" s="916">
        <f t="shared" si="65"/>
        <v>1655.81</v>
      </c>
    </row>
    <row r="257" spans="1:11" s="832" customFormat="1" ht="39.950000000000003" customHeight="1" outlineLevel="1">
      <c r="A257" s="885"/>
      <c r="B257" s="968" t="s">
        <v>655</v>
      </c>
      <c r="C257" s="963" t="s">
        <v>656</v>
      </c>
      <c r="D257" s="421" t="s">
        <v>657</v>
      </c>
      <c r="E257" s="414" t="s">
        <v>60</v>
      </c>
      <c r="F257" s="964">
        <f>Plan1!D208</f>
        <v>1</v>
      </c>
      <c r="G257" s="925">
        <f t="shared" si="63"/>
        <v>657.37</v>
      </c>
      <c r="H257" s="889">
        <f t="shared" si="64"/>
        <v>657.37</v>
      </c>
      <c r="I257" s="885"/>
      <c r="J257" s="981">
        <v>519.21</v>
      </c>
      <c r="K257" s="916">
        <f t="shared" si="65"/>
        <v>657.37</v>
      </c>
    </row>
    <row r="258" spans="1:11" s="832" customFormat="1" ht="35.1" customHeight="1" outlineLevel="1">
      <c r="A258" s="885"/>
      <c r="B258" s="968" t="s">
        <v>658</v>
      </c>
      <c r="C258" s="963" t="s">
        <v>659</v>
      </c>
      <c r="D258" s="456" t="s">
        <v>660</v>
      </c>
      <c r="E258" s="414" t="s">
        <v>60</v>
      </c>
      <c r="F258" s="964">
        <f>Plan1!D209</f>
        <v>1</v>
      </c>
      <c r="G258" s="925">
        <f t="shared" si="63"/>
        <v>1538.1</v>
      </c>
      <c r="H258" s="889">
        <f t="shared" si="64"/>
        <v>1538.1</v>
      </c>
      <c r="I258" s="885"/>
      <c r="J258" s="981">
        <f>composições!F632</f>
        <v>1214.83</v>
      </c>
      <c r="K258" s="916">
        <f t="shared" si="65"/>
        <v>1538.1</v>
      </c>
    </row>
    <row r="259" spans="1:11" s="832" customFormat="1" ht="35.1" customHeight="1" outlineLevel="1">
      <c r="A259" s="885"/>
      <c r="B259" s="968" t="s">
        <v>661</v>
      </c>
      <c r="C259" s="963" t="s">
        <v>662</v>
      </c>
      <c r="D259" s="438" t="s">
        <v>663</v>
      </c>
      <c r="E259" s="414" t="s">
        <v>60</v>
      </c>
      <c r="F259" s="964">
        <f>Plan1!D210</f>
        <v>2</v>
      </c>
      <c r="G259" s="925">
        <f t="shared" si="63"/>
        <v>140.99</v>
      </c>
      <c r="H259" s="889">
        <f t="shared" si="64"/>
        <v>281.98</v>
      </c>
      <c r="I259" s="885"/>
      <c r="J259" s="981">
        <v>111.36</v>
      </c>
      <c r="K259" s="916">
        <f t="shared" si="65"/>
        <v>140.99</v>
      </c>
    </row>
    <row r="260" spans="1:11" s="832" customFormat="1" ht="35.1" customHeight="1" outlineLevel="1">
      <c r="A260" s="885"/>
      <c r="B260" s="968" t="s">
        <v>664</v>
      </c>
      <c r="C260" s="963" t="s">
        <v>665</v>
      </c>
      <c r="D260" s="455" t="s">
        <v>666</v>
      </c>
      <c r="E260" s="414" t="s">
        <v>38</v>
      </c>
      <c r="F260" s="964">
        <f>Plan1!D211</f>
        <v>2.76</v>
      </c>
      <c r="G260" s="925">
        <f t="shared" si="63"/>
        <v>196.13</v>
      </c>
      <c r="H260" s="889">
        <f t="shared" si="64"/>
        <v>541.3187999999999</v>
      </c>
      <c r="I260" s="885"/>
      <c r="J260" s="981">
        <v>154.91</v>
      </c>
      <c r="K260" s="916">
        <f t="shared" si="65"/>
        <v>196.13</v>
      </c>
    </row>
    <row r="261" spans="1:11" s="832" customFormat="1" ht="48.95" customHeight="1" outlineLevel="1">
      <c r="A261" s="885"/>
      <c r="B261" s="968" t="s">
        <v>667</v>
      </c>
      <c r="C261" s="963" t="s">
        <v>668</v>
      </c>
      <c r="D261" s="438" t="s">
        <v>669</v>
      </c>
      <c r="E261" s="414" t="s">
        <v>38</v>
      </c>
      <c r="F261" s="964">
        <f>Plan1!D212</f>
        <v>129.5</v>
      </c>
      <c r="G261" s="925">
        <f t="shared" si="63"/>
        <v>147.44</v>
      </c>
      <c r="H261" s="889">
        <f t="shared" si="64"/>
        <v>19093.48</v>
      </c>
      <c r="I261" s="885"/>
      <c r="J261" s="981">
        <v>116.45</v>
      </c>
      <c r="K261" s="916">
        <f t="shared" si="65"/>
        <v>147.44</v>
      </c>
    </row>
    <row r="262" spans="1:11" s="832" customFormat="1" ht="35.1" customHeight="1" outlineLevel="1">
      <c r="A262" s="885"/>
      <c r="B262" s="968" t="s">
        <v>670</v>
      </c>
      <c r="C262" s="963" t="s">
        <v>671</v>
      </c>
      <c r="D262" s="421" t="s">
        <v>672</v>
      </c>
      <c r="E262" s="414" t="s">
        <v>60</v>
      </c>
      <c r="F262" s="964">
        <f>Plan1!D213</f>
        <v>2</v>
      </c>
      <c r="G262" s="925">
        <f t="shared" si="63"/>
        <v>508.3</v>
      </c>
      <c r="H262" s="889">
        <f t="shared" si="64"/>
        <v>1016.6</v>
      </c>
      <c r="I262" s="885"/>
      <c r="J262" s="981">
        <v>401.47</v>
      </c>
      <c r="K262" s="916">
        <f t="shared" si="65"/>
        <v>508.3</v>
      </c>
    </row>
    <row r="263" spans="1:11" s="832" customFormat="1" ht="35.1" customHeight="1" outlineLevel="1">
      <c r="A263" s="885"/>
      <c r="B263" s="968" t="s">
        <v>673</v>
      </c>
      <c r="C263" s="969" t="s">
        <v>674</v>
      </c>
      <c r="D263" s="452" t="s">
        <v>675</v>
      </c>
      <c r="E263" s="420" t="s">
        <v>60</v>
      </c>
      <c r="F263" s="970">
        <f>Plan1!D214</f>
        <v>1</v>
      </c>
      <c r="G263" s="925">
        <f t="shared" si="63"/>
        <v>395.12</v>
      </c>
      <c r="H263" s="889">
        <f t="shared" si="64"/>
        <v>395.12</v>
      </c>
      <c r="I263" s="885"/>
      <c r="J263" s="982">
        <v>312.08</v>
      </c>
      <c r="K263" s="916">
        <f t="shared" si="65"/>
        <v>395.12</v>
      </c>
    </row>
    <row r="264" spans="1:11" s="832" customFormat="1" ht="35.1" customHeight="1" outlineLevel="1">
      <c r="A264" s="885"/>
      <c r="B264" s="968" t="s">
        <v>676</v>
      </c>
      <c r="C264" s="969" t="s">
        <v>677</v>
      </c>
      <c r="D264" s="452" t="s">
        <v>678</v>
      </c>
      <c r="E264" s="420" t="s">
        <v>60</v>
      </c>
      <c r="F264" s="970">
        <f>Plan1!D215</f>
        <v>2</v>
      </c>
      <c r="G264" s="925">
        <f t="shared" si="63"/>
        <v>394.54</v>
      </c>
      <c r="H264" s="889">
        <f t="shared" si="64"/>
        <v>789.08</v>
      </c>
      <c r="I264" s="885"/>
      <c r="J264" s="982">
        <v>311.62</v>
      </c>
      <c r="K264" s="916">
        <f t="shared" si="65"/>
        <v>394.54</v>
      </c>
    </row>
    <row r="265" spans="1:11" s="832" customFormat="1" ht="35.1" customHeight="1" outlineLevel="1">
      <c r="A265" s="885"/>
      <c r="B265" s="968" t="s">
        <v>679</v>
      </c>
      <c r="C265" s="963" t="s">
        <v>680</v>
      </c>
      <c r="D265" s="438" t="s">
        <v>681</v>
      </c>
      <c r="E265" s="414" t="s">
        <v>60</v>
      </c>
      <c r="F265" s="964">
        <f>Plan1!D216</f>
        <v>1</v>
      </c>
      <c r="G265" s="925">
        <f t="shared" si="63"/>
        <v>203.54</v>
      </c>
      <c r="H265" s="889">
        <f t="shared" si="64"/>
        <v>203.54</v>
      </c>
      <c r="I265" s="885"/>
      <c r="J265" s="981">
        <v>160.76</v>
      </c>
      <c r="K265" s="916">
        <f t="shared" si="65"/>
        <v>203.54</v>
      </c>
    </row>
    <row r="266" spans="1:11" s="832" customFormat="1" ht="35.1" customHeight="1" outlineLevel="1">
      <c r="A266" s="885"/>
      <c r="B266" s="968" t="s">
        <v>682</v>
      </c>
      <c r="C266" s="963" t="s">
        <v>683</v>
      </c>
      <c r="D266" s="456" t="s">
        <v>684</v>
      </c>
      <c r="E266" s="414" t="s">
        <v>60</v>
      </c>
      <c r="F266" s="964">
        <f>Plan1!D217</f>
        <v>1</v>
      </c>
      <c r="G266" s="925">
        <f t="shared" si="63"/>
        <v>130.55000000000001</v>
      </c>
      <c r="H266" s="889">
        <f t="shared" si="64"/>
        <v>130.55000000000001</v>
      </c>
      <c r="I266" s="885"/>
      <c r="J266" s="981">
        <v>103.11</v>
      </c>
      <c r="K266" s="916">
        <f t="shared" si="65"/>
        <v>130.55000000000001</v>
      </c>
    </row>
    <row r="267" spans="1:11" s="832" customFormat="1" ht="35.1" customHeight="1" outlineLevel="1">
      <c r="A267" s="885"/>
      <c r="B267" s="968" t="s">
        <v>685</v>
      </c>
      <c r="C267" s="963" t="s">
        <v>686</v>
      </c>
      <c r="D267" s="456" t="s">
        <v>687</v>
      </c>
      <c r="E267" s="414" t="s">
        <v>60</v>
      </c>
      <c r="F267" s="964">
        <f>Plan1!D218</f>
        <v>6</v>
      </c>
      <c r="G267" s="925">
        <f t="shared" si="63"/>
        <v>185.64</v>
      </c>
      <c r="H267" s="889">
        <f t="shared" si="64"/>
        <v>1113.8399999999999</v>
      </c>
      <c r="I267" s="885"/>
      <c r="J267" s="981">
        <v>146.62</v>
      </c>
      <c r="K267" s="916">
        <f t="shared" si="65"/>
        <v>185.64</v>
      </c>
    </row>
    <row r="268" spans="1:11" s="832" customFormat="1" ht="35.1" customHeight="1" outlineLevel="1">
      <c r="A268" s="885"/>
      <c r="B268" s="968" t="s">
        <v>688</v>
      </c>
      <c r="C268" s="963" t="s">
        <v>689</v>
      </c>
      <c r="D268" s="438" t="s">
        <v>690</v>
      </c>
      <c r="E268" s="414" t="s">
        <v>691</v>
      </c>
      <c r="F268" s="964">
        <f>Plan1!D219</f>
        <v>13</v>
      </c>
      <c r="G268" s="925">
        <f t="shared" si="63"/>
        <v>135.59</v>
      </c>
      <c r="H268" s="889">
        <f t="shared" si="64"/>
        <v>1762.67</v>
      </c>
      <c r="I268" s="885"/>
      <c r="J268" s="981">
        <v>107.09</v>
      </c>
      <c r="K268" s="916">
        <f t="shared" si="65"/>
        <v>135.59</v>
      </c>
    </row>
    <row r="269" spans="1:11" s="832" customFormat="1" ht="35.1" customHeight="1" outlineLevel="1">
      <c r="A269" s="885"/>
      <c r="B269" s="968" t="s">
        <v>692</v>
      </c>
      <c r="C269" s="963" t="s">
        <v>693</v>
      </c>
      <c r="D269" s="438" t="s">
        <v>694</v>
      </c>
      <c r="E269" s="414" t="s">
        <v>60</v>
      </c>
      <c r="F269" s="964">
        <f>Plan1!D220</f>
        <v>1</v>
      </c>
      <c r="G269" s="925">
        <f t="shared" si="63"/>
        <v>177.66</v>
      </c>
      <c r="H269" s="889">
        <f t="shared" si="64"/>
        <v>177.66</v>
      </c>
      <c r="I269" s="885"/>
      <c r="J269" s="981">
        <v>140.32</v>
      </c>
      <c r="K269" s="916">
        <f t="shared" si="65"/>
        <v>177.66</v>
      </c>
    </row>
    <row r="270" spans="1:11" s="832" customFormat="1" ht="35.1" customHeight="1" outlineLevel="1">
      <c r="A270" s="885"/>
      <c r="B270" s="968" t="s">
        <v>695</v>
      </c>
      <c r="C270" s="963" t="s">
        <v>696</v>
      </c>
      <c r="D270" s="438" t="s">
        <v>697</v>
      </c>
      <c r="E270" s="414" t="s">
        <v>60</v>
      </c>
      <c r="F270" s="964">
        <f>Plan1!D221</f>
        <v>1</v>
      </c>
      <c r="G270" s="925">
        <f t="shared" si="63"/>
        <v>380.9</v>
      </c>
      <c r="H270" s="889">
        <f t="shared" si="64"/>
        <v>380.9</v>
      </c>
      <c r="I270" s="885"/>
      <c r="J270" s="981">
        <f>composições!F667</f>
        <v>300.84456</v>
      </c>
      <c r="K270" s="916">
        <f t="shared" si="65"/>
        <v>380.9</v>
      </c>
    </row>
    <row r="271" spans="1:11" s="832" customFormat="1" ht="35.1" customHeight="1" outlineLevel="1">
      <c r="A271" s="885"/>
      <c r="B271" s="968" t="s">
        <v>698</v>
      </c>
      <c r="C271" s="963" t="s">
        <v>699</v>
      </c>
      <c r="D271" s="457" t="s">
        <v>700</v>
      </c>
      <c r="E271" s="414" t="s">
        <v>60</v>
      </c>
      <c r="F271" s="964">
        <f>Plan1!D222</f>
        <v>1</v>
      </c>
      <c r="G271" s="925">
        <f t="shared" si="63"/>
        <v>74.650000000000006</v>
      </c>
      <c r="H271" s="889">
        <f t="shared" si="64"/>
        <v>74.650000000000006</v>
      </c>
      <c r="I271" s="885"/>
      <c r="J271" s="981">
        <v>58.96</v>
      </c>
      <c r="K271" s="916">
        <f t="shared" si="65"/>
        <v>74.650000000000006</v>
      </c>
    </row>
    <row r="272" spans="1:11" s="832" customFormat="1" ht="35.1" customHeight="1" outlineLevel="1">
      <c r="A272" s="885"/>
      <c r="B272" s="968" t="s">
        <v>701</v>
      </c>
      <c r="C272" s="995" t="s">
        <v>702</v>
      </c>
      <c r="D272" s="455" t="s">
        <v>703</v>
      </c>
      <c r="E272" s="458" t="s">
        <v>60</v>
      </c>
      <c r="F272" s="996">
        <f>Plan1!D223</f>
        <v>5</v>
      </c>
      <c r="G272" s="925">
        <f t="shared" si="63"/>
        <v>169.9</v>
      </c>
      <c r="H272" s="889">
        <f t="shared" si="64"/>
        <v>849.5</v>
      </c>
      <c r="I272" s="885"/>
      <c r="J272" s="993">
        <v>134.19</v>
      </c>
      <c r="K272" s="916">
        <f t="shared" si="65"/>
        <v>169.9</v>
      </c>
    </row>
    <row r="273" spans="1:11" ht="24.95" customHeight="1">
      <c r="A273" s="844"/>
      <c r="B273" s="875">
        <v>19</v>
      </c>
      <c r="C273" s="875"/>
      <c r="D273" s="447" t="s">
        <v>704</v>
      </c>
      <c r="E273" s="422"/>
      <c r="F273" s="971"/>
      <c r="G273" s="877"/>
      <c r="H273" s="878"/>
      <c r="I273" s="844"/>
    </row>
    <row r="274" spans="1:11" s="833" customFormat="1" ht="24.95" customHeight="1" outlineLevel="1">
      <c r="A274" s="939"/>
      <c r="B274" s="997" t="s">
        <v>705</v>
      </c>
      <c r="C274" s="997"/>
      <c r="D274" s="459" t="s">
        <v>706</v>
      </c>
      <c r="E274" s="460"/>
      <c r="F274" s="998"/>
      <c r="G274" s="944"/>
      <c r="H274" s="945"/>
      <c r="I274" s="939"/>
      <c r="J274" s="946"/>
      <c r="K274" s="947"/>
    </row>
    <row r="275" spans="1:11" s="830" customFormat="1" ht="37.15" customHeight="1" outlineLevel="1">
      <c r="A275" s="844"/>
      <c r="B275" s="962" t="s">
        <v>707</v>
      </c>
      <c r="C275" s="963" t="s">
        <v>708</v>
      </c>
      <c r="D275" s="413" t="s">
        <v>709</v>
      </c>
      <c r="E275" s="414" t="s">
        <v>60</v>
      </c>
      <c r="F275" s="964">
        <f>Plan1!D226</f>
        <v>3</v>
      </c>
      <c r="G275" s="893">
        <f>K275</f>
        <v>484.49</v>
      </c>
      <c r="H275" s="883">
        <f>F275*G275</f>
        <v>1453.47</v>
      </c>
      <c r="I275" s="844"/>
      <c r="J275" s="981">
        <v>382.66</v>
      </c>
      <c r="K275" s="842">
        <f>ROUND(J275*(1+$H$14),2)</f>
        <v>484.49</v>
      </c>
    </row>
    <row r="276" spans="1:11" s="833" customFormat="1" ht="37.15" customHeight="1" outlineLevel="1">
      <c r="A276" s="939"/>
      <c r="B276" s="999" t="s">
        <v>710</v>
      </c>
      <c r="C276" s="1000"/>
      <c r="D276" s="459" t="s">
        <v>711</v>
      </c>
      <c r="E276" s="461"/>
      <c r="F276" s="1001"/>
      <c r="G276" s="950"/>
      <c r="H276" s="945"/>
      <c r="I276" s="939"/>
      <c r="J276" s="1007"/>
      <c r="K276" s="947"/>
    </row>
    <row r="277" spans="1:11" s="830" customFormat="1" ht="39.950000000000003" customHeight="1" outlineLevel="1">
      <c r="A277" s="844"/>
      <c r="B277" s="962" t="s">
        <v>712</v>
      </c>
      <c r="C277" s="963" t="s">
        <v>713</v>
      </c>
      <c r="D277" s="413" t="s">
        <v>714</v>
      </c>
      <c r="E277" s="414" t="s">
        <v>60</v>
      </c>
      <c r="F277" s="964">
        <f>Plan1!D228</f>
        <v>10</v>
      </c>
      <c r="G277" s="893">
        <f t="shared" ref="G277" si="66">K277</f>
        <v>38.53</v>
      </c>
      <c r="H277" s="883">
        <f t="shared" ref="H277" si="67">F277*G277</f>
        <v>385.3</v>
      </c>
      <c r="I277" s="844"/>
      <c r="J277" s="981">
        <v>30.43</v>
      </c>
      <c r="K277" s="842">
        <f t="shared" ref="K277" si="68">ROUND(J277*(1+$H$14),2)</f>
        <v>38.53</v>
      </c>
    </row>
    <row r="278" spans="1:11" s="830" customFormat="1" ht="39.950000000000003" customHeight="1" outlineLevel="1">
      <c r="A278" s="844"/>
      <c r="B278" s="962" t="s">
        <v>715</v>
      </c>
      <c r="C278" s="963" t="s">
        <v>716</v>
      </c>
      <c r="D278" s="413" t="s">
        <v>717</v>
      </c>
      <c r="E278" s="414" t="s">
        <v>60</v>
      </c>
      <c r="F278" s="964">
        <f>Plan1!D229</f>
        <v>10</v>
      </c>
      <c r="G278" s="893">
        <f t="shared" ref="G278:G279" si="69">K278</f>
        <v>8.6300000000000008</v>
      </c>
      <c r="H278" s="883">
        <f t="shared" ref="H278:H279" si="70">F278*G278</f>
        <v>86.300000000000011</v>
      </c>
      <c r="I278" s="844"/>
      <c r="J278" s="981">
        <v>6.82</v>
      </c>
      <c r="K278" s="842">
        <f t="shared" ref="K278:K279" si="71">ROUND(J278*(1+$H$14),2)</f>
        <v>8.6300000000000008</v>
      </c>
    </row>
    <row r="279" spans="1:11" s="832" customFormat="1" ht="39.950000000000003" customHeight="1" outlineLevel="1">
      <c r="A279" s="885"/>
      <c r="B279" s="962" t="s">
        <v>718</v>
      </c>
      <c r="C279" s="923" t="s">
        <v>719</v>
      </c>
      <c r="D279" s="448" t="s">
        <v>720</v>
      </c>
      <c r="E279" s="449" t="s">
        <v>60</v>
      </c>
      <c r="F279" s="992">
        <f>Plan1!D230</f>
        <v>70</v>
      </c>
      <c r="G279" s="925">
        <f t="shared" si="69"/>
        <v>10.07</v>
      </c>
      <c r="H279" s="889">
        <f t="shared" si="70"/>
        <v>704.9</v>
      </c>
      <c r="I279" s="885"/>
      <c r="J279" s="915">
        <v>7.95</v>
      </c>
      <c r="K279" s="916">
        <f t="shared" si="71"/>
        <v>10.07</v>
      </c>
    </row>
    <row r="280" spans="1:11" s="832" customFormat="1" ht="39.950000000000003" customHeight="1" outlineLevel="1">
      <c r="A280" s="885"/>
      <c r="B280" s="962" t="s">
        <v>721</v>
      </c>
      <c r="C280" s="923" t="s">
        <v>722</v>
      </c>
      <c r="D280" s="448" t="s">
        <v>723</v>
      </c>
      <c r="E280" s="449" t="s">
        <v>60</v>
      </c>
      <c r="F280" s="992">
        <f>Plan1!D231</f>
        <v>4</v>
      </c>
      <c r="G280" s="925">
        <f t="shared" ref="G280:G281" si="72">K280</f>
        <v>128.72</v>
      </c>
      <c r="H280" s="889">
        <f t="shared" ref="H280:H281" si="73">F280*G280</f>
        <v>514.88</v>
      </c>
      <c r="I280" s="885"/>
      <c r="J280" s="915">
        <v>101.67</v>
      </c>
      <c r="K280" s="916">
        <f t="shared" ref="K280:K281" si="74">ROUND(J280*(1+$H$14),2)</f>
        <v>128.72</v>
      </c>
    </row>
    <row r="281" spans="1:11" s="832" customFormat="1" ht="35.1" customHeight="1" outlineLevel="1">
      <c r="A281" s="885"/>
      <c r="B281" s="962" t="s">
        <v>724</v>
      </c>
      <c r="C281" s="969" t="s">
        <v>725</v>
      </c>
      <c r="D281" s="440" t="s">
        <v>726</v>
      </c>
      <c r="E281" s="420" t="s">
        <v>60</v>
      </c>
      <c r="F281" s="970">
        <f>Plan1!D232</f>
        <v>5</v>
      </c>
      <c r="G281" s="925">
        <f t="shared" si="72"/>
        <v>120.29</v>
      </c>
      <c r="H281" s="889">
        <f t="shared" si="73"/>
        <v>601.45000000000005</v>
      </c>
      <c r="I281" s="885"/>
      <c r="J281" s="994">
        <v>95.01</v>
      </c>
      <c r="K281" s="916">
        <f t="shared" si="74"/>
        <v>120.29</v>
      </c>
    </row>
    <row r="282" spans="1:11" s="833" customFormat="1" ht="39.950000000000003" customHeight="1" outlineLevel="1">
      <c r="A282" s="939"/>
      <c r="B282" s="999" t="s">
        <v>727</v>
      </c>
      <c r="C282" s="1000"/>
      <c r="D282" s="459" t="s">
        <v>728</v>
      </c>
      <c r="E282" s="461"/>
      <c r="F282" s="1001"/>
      <c r="G282" s="950"/>
      <c r="H282" s="945"/>
      <c r="I282" s="939"/>
      <c r="J282" s="1007"/>
      <c r="K282" s="947"/>
    </row>
    <row r="283" spans="1:11" s="830" customFormat="1" ht="39.950000000000003" customHeight="1" outlineLevel="1">
      <c r="A283" s="844"/>
      <c r="B283" s="962" t="s">
        <v>729</v>
      </c>
      <c r="C283" s="963" t="s">
        <v>730</v>
      </c>
      <c r="D283" s="413" t="s">
        <v>731</v>
      </c>
      <c r="E283" s="414" t="s">
        <v>38</v>
      </c>
      <c r="F283" s="964">
        <f>Plan1!D234</f>
        <v>90</v>
      </c>
      <c r="G283" s="893">
        <f t="shared" ref="G283:G287" si="75">K283</f>
        <v>21.83</v>
      </c>
      <c r="H283" s="883">
        <f t="shared" ref="H283:H287" si="76">F283*G283</f>
        <v>1964.6999999999998</v>
      </c>
      <c r="I283" s="844"/>
      <c r="J283" s="981">
        <v>17.239999999999998</v>
      </c>
      <c r="K283" s="842">
        <f t="shared" ref="K283:K287" si="77">ROUND(J283*(1+$H$14),2)</f>
        <v>21.83</v>
      </c>
    </row>
    <row r="284" spans="1:11" s="830" customFormat="1" ht="39.950000000000003" customHeight="1" outlineLevel="1">
      <c r="A284" s="844"/>
      <c r="B284" s="962" t="s">
        <v>732</v>
      </c>
      <c r="C284" s="414" t="s">
        <v>733</v>
      </c>
      <c r="D284" s="435" t="s">
        <v>734</v>
      </c>
      <c r="E284" s="414" t="s">
        <v>38</v>
      </c>
      <c r="F284" s="964">
        <f>Plan1!D235</f>
        <v>120</v>
      </c>
      <c r="G284" s="893">
        <f t="shared" si="75"/>
        <v>41.45</v>
      </c>
      <c r="H284" s="883">
        <f t="shared" si="76"/>
        <v>4974</v>
      </c>
      <c r="I284" s="844"/>
      <c r="J284" s="981">
        <v>32.74</v>
      </c>
      <c r="K284" s="842">
        <f t="shared" si="77"/>
        <v>41.45</v>
      </c>
    </row>
    <row r="285" spans="1:11" s="830" customFormat="1" ht="39.950000000000003" customHeight="1" outlineLevel="1">
      <c r="A285" s="844"/>
      <c r="B285" s="962" t="s">
        <v>735</v>
      </c>
      <c r="C285" s="891" t="s">
        <v>736</v>
      </c>
      <c r="D285" s="450" t="s">
        <v>737</v>
      </c>
      <c r="E285" s="414" t="s">
        <v>38</v>
      </c>
      <c r="F285" s="964">
        <f>Plan1!D236</f>
        <v>660</v>
      </c>
      <c r="G285" s="893">
        <f t="shared" si="75"/>
        <v>16.52</v>
      </c>
      <c r="H285" s="883">
        <f t="shared" si="76"/>
        <v>10903.199999999999</v>
      </c>
      <c r="I285" s="844"/>
      <c r="J285" s="841">
        <v>13.05</v>
      </c>
      <c r="K285" s="842">
        <f t="shared" si="77"/>
        <v>16.52</v>
      </c>
    </row>
    <row r="286" spans="1:11" s="830" customFormat="1" ht="39.950000000000003" customHeight="1" outlineLevel="1">
      <c r="A286" s="844"/>
      <c r="B286" s="962" t="s">
        <v>738</v>
      </c>
      <c r="C286" s="891" t="s">
        <v>739</v>
      </c>
      <c r="D286" s="450" t="s">
        <v>740</v>
      </c>
      <c r="E286" s="414" t="s">
        <v>38</v>
      </c>
      <c r="F286" s="964">
        <f>Plan1!D237</f>
        <v>75</v>
      </c>
      <c r="G286" s="893">
        <f t="shared" si="75"/>
        <v>29.64</v>
      </c>
      <c r="H286" s="883">
        <f t="shared" si="76"/>
        <v>2223</v>
      </c>
      <c r="I286" s="844"/>
      <c r="J286" s="841">
        <v>23.41</v>
      </c>
      <c r="K286" s="842">
        <f t="shared" si="77"/>
        <v>29.64</v>
      </c>
    </row>
    <row r="287" spans="1:11" s="830" customFormat="1" ht="39.950000000000003" customHeight="1" outlineLevel="1">
      <c r="A287" s="844"/>
      <c r="B287" s="962" t="s">
        <v>741</v>
      </c>
      <c r="C287" s="891" t="s">
        <v>742</v>
      </c>
      <c r="D287" s="450" t="s">
        <v>743</v>
      </c>
      <c r="E287" s="414" t="s">
        <v>38</v>
      </c>
      <c r="F287" s="964">
        <f>Plan1!D238</f>
        <v>150</v>
      </c>
      <c r="G287" s="893">
        <f t="shared" si="75"/>
        <v>106.77</v>
      </c>
      <c r="H287" s="883">
        <f t="shared" si="76"/>
        <v>16015.5</v>
      </c>
      <c r="I287" s="844"/>
      <c r="J287" s="841">
        <v>84.33</v>
      </c>
      <c r="K287" s="842">
        <f t="shared" si="77"/>
        <v>106.77</v>
      </c>
    </row>
    <row r="288" spans="1:11" s="833" customFormat="1" ht="39.950000000000003" customHeight="1" outlineLevel="1">
      <c r="A288" s="939"/>
      <c r="B288" s="999" t="s">
        <v>744</v>
      </c>
      <c r="C288" s="1000"/>
      <c r="D288" s="459" t="s">
        <v>745</v>
      </c>
      <c r="E288" s="461"/>
      <c r="F288" s="1001"/>
      <c r="G288" s="950"/>
      <c r="H288" s="945"/>
      <c r="I288" s="939"/>
      <c r="J288" s="1007"/>
      <c r="K288" s="947"/>
    </row>
    <row r="289" spans="1:11" s="830" customFormat="1" ht="39.950000000000003" customHeight="1" outlineLevel="1">
      <c r="A289" s="844"/>
      <c r="B289" s="962" t="s">
        <v>746</v>
      </c>
      <c r="C289" s="963" t="s">
        <v>747</v>
      </c>
      <c r="D289" s="413" t="s">
        <v>748</v>
      </c>
      <c r="E289" s="414" t="s">
        <v>38</v>
      </c>
      <c r="F289" s="964">
        <f>Plan1!D240</f>
        <v>342</v>
      </c>
      <c r="G289" s="893">
        <f t="shared" ref="G289:G304" si="78">K289</f>
        <v>17.62</v>
      </c>
      <c r="H289" s="883">
        <f t="shared" ref="H289:H304" si="79">F289*G289</f>
        <v>6026.04</v>
      </c>
      <c r="I289" s="844"/>
      <c r="J289" s="981">
        <v>13.92</v>
      </c>
      <c r="K289" s="842">
        <f t="shared" ref="K289:K304" si="80">ROUND(J289*(1+$H$14),2)</f>
        <v>17.62</v>
      </c>
    </row>
    <row r="290" spans="1:11" s="830" customFormat="1" ht="39.950000000000003" customHeight="1" outlineLevel="1">
      <c r="A290" s="844"/>
      <c r="B290" s="962" t="s">
        <v>749</v>
      </c>
      <c r="C290" s="963" t="s">
        <v>750</v>
      </c>
      <c r="D290" s="413" t="s">
        <v>751</v>
      </c>
      <c r="E290" s="414" t="s">
        <v>38</v>
      </c>
      <c r="F290" s="964">
        <f>Plan1!D241</f>
        <v>99</v>
      </c>
      <c r="G290" s="893">
        <f t="shared" si="78"/>
        <v>24.6</v>
      </c>
      <c r="H290" s="883">
        <f t="shared" si="79"/>
        <v>2435.4</v>
      </c>
      <c r="I290" s="844"/>
      <c r="J290" s="981">
        <v>19.43</v>
      </c>
      <c r="K290" s="842">
        <f t="shared" si="80"/>
        <v>24.6</v>
      </c>
    </row>
    <row r="291" spans="1:11" s="830" customFormat="1" ht="35.1" customHeight="1" outlineLevel="1">
      <c r="A291" s="844"/>
      <c r="B291" s="962" t="s">
        <v>752</v>
      </c>
      <c r="C291" s="963" t="s">
        <v>753</v>
      </c>
      <c r="D291" s="462" t="s">
        <v>754</v>
      </c>
      <c r="E291" s="414" t="s">
        <v>38</v>
      </c>
      <c r="F291" s="964">
        <f>Plan1!D242</f>
        <v>100</v>
      </c>
      <c r="G291" s="893">
        <f t="shared" si="78"/>
        <v>2.89</v>
      </c>
      <c r="H291" s="883">
        <f t="shared" si="79"/>
        <v>289</v>
      </c>
      <c r="I291" s="844"/>
      <c r="J291" s="993">
        <v>2.2799999999999998</v>
      </c>
      <c r="K291" s="842">
        <f t="shared" si="80"/>
        <v>2.89</v>
      </c>
    </row>
    <row r="292" spans="1:11" s="830" customFormat="1" ht="35.1" customHeight="1" outlineLevel="1">
      <c r="A292" s="844"/>
      <c r="B292" s="962" t="s">
        <v>755</v>
      </c>
      <c r="C292" s="963" t="s">
        <v>753</v>
      </c>
      <c r="D292" s="423" t="s">
        <v>756</v>
      </c>
      <c r="E292" s="414" t="s">
        <v>38</v>
      </c>
      <c r="F292" s="964">
        <f>Plan1!D243</f>
        <v>100</v>
      </c>
      <c r="G292" s="893">
        <f t="shared" si="78"/>
        <v>2.89</v>
      </c>
      <c r="H292" s="883">
        <f t="shared" si="79"/>
        <v>289</v>
      </c>
      <c r="I292" s="844"/>
      <c r="J292" s="981">
        <v>2.2799999999999998</v>
      </c>
      <c r="K292" s="842">
        <f t="shared" si="80"/>
        <v>2.89</v>
      </c>
    </row>
    <row r="293" spans="1:11" s="830" customFormat="1" ht="35.1" customHeight="1" outlineLevel="1">
      <c r="A293" s="844"/>
      <c r="B293" s="962" t="s">
        <v>757</v>
      </c>
      <c r="C293" s="995" t="s">
        <v>758</v>
      </c>
      <c r="D293" s="462" t="s">
        <v>759</v>
      </c>
      <c r="E293" s="414" t="s">
        <v>38</v>
      </c>
      <c r="F293" s="964">
        <f>Plan1!D244</f>
        <v>1000</v>
      </c>
      <c r="G293" s="893">
        <f t="shared" si="78"/>
        <v>4.1500000000000004</v>
      </c>
      <c r="H293" s="883">
        <f t="shared" si="79"/>
        <v>4150</v>
      </c>
      <c r="I293" s="844"/>
      <c r="J293" s="981">
        <v>3.28</v>
      </c>
      <c r="K293" s="842">
        <f t="shared" si="80"/>
        <v>4.1500000000000004</v>
      </c>
    </row>
    <row r="294" spans="1:11" s="830" customFormat="1" ht="35.1" customHeight="1" outlineLevel="1">
      <c r="A294" s="844"/>
      <c r="B294" s="962" t="s">
        <v>760</v>
      </c>
      <c r="C294" s="414" t="s">
        <v>758</v>
      </c>
      <c r="D294" s="423" t="s">
        <v>761</v>
      </c>
      <c r="E294" s="414" t="s">
        <v>38</v>
      </c>
      <c r="F294" s="964">
        <f>Plan1!D245</f>
        <v>1000</v>
      </c>
      <c r="G294" s="893">
        <f t="shared" si="78"/>
        <v>4.1500000000000004</v>
      </c>
      <c r="H294" s="883">
        <f t="shared" si="79"/>
        <v>4150</v>
      </c>
      <c r="I294" s="844"/>
      <c r="J294" s="981">
        <v>3.28</v>
      </c>
      <c r="K294" s="842">
        <f t="shared" si="80"/>
        <v>4.1500000000000004</v>
      </c>
    </row>
    <row r="295" spans="1:11" s="830" customFormat="1" ht="35.1" customHeight="1" outlineLevel="1">
      <c r="A295" s="844"/>
      <c r="B295" s="962" t="s">
        <v>762</v>
      </c>
      <c r="C295" s="414" t="s">
        <v>758</v>
      </c>
      <c r="D295" s="423" t="s">
        <v>763</v>
      </c>
      <c r="E295" s="414" t="s">
        <v>38</v>
      </c>
      <c r="F295" s="964">
        <f>Plan1!D246</f>
        <v>1000</v>
      </c>
      <c r="G295" s="893">
        <f t="shared" si="78"/>
        <v>4.1500000000000004</v>
      </c>
      <c r="H295" s="883">
        <f t="shared" si="79"/>
        <v>4150</v>
      </c>
      <c r="I295" s="844"/>
      <c r="J295" s="981">
        <v>3.28</v>
      </c>
      <c r="K295" s="842">
        <f t="shared" si="80"/>
        <v>4.1500000000000004</v>
      </c>
    </row>
    <row r="296" spans="1:11" s="830" customFormat="1" ht="35.1" customHeight="1" outlineLevel="1">
      <c r="A296" s="844"/>
      <c r="B296" s="962" t="s">
        <v>764</v>
      </c>
      <c r="C296" s="414" t="s">
        <v>765</v>
      </c>
      <c r="D296" s="423" t="s">
        <v>766</v>
      </c>
      <c r="E296" s="414" t="s">
        <v>38</v>
      </c>
      <c r="F296" s="964">
        <f>Plan1!D247</f>
        <v>150</v>
      </c>
      <c r="G296" s="893">
        <f t="shared" si="78"/>
        <v>6.72</v>
      </c>
      <c r="H296" s="883">
        <f t="shared" si="79"/>
        <v>1008</v>
      </c>
      <c r="I296" s="844"/>
      <c r="J296" s="981">
        <v>5.31</v>
      </c>
      <c r="K296" s="842">
        <f t="shared" si="80"/>
        <v>6.72</v>
      </c>
    </row>
    <row r="297" spans="1:11" s="830" customFormat="1" ht="35.1" customHeight="1" outlineLevel="1">
      <c r="A297" s="844"/>
      <c r="B297" s="962" t="s">
        <v>767</v>
      </c>
      <c r="C297" s="414" t="s">
        <v>765</v>
      </c>
      <c r="D297" s="423" t="s">
        <v>768</v>
      </c>
      <c r="E297" s="414" t="s">
        <v>38</v>
      </c>
      <c r="F297" s="964">
        <f>Plan1!D248</f>
        <v>150</v>
      </c>
      <c r="G297" s="893">
        <f t="shared" si="78"/>
        <v>6.72</v>
      </c>
      <c r="H297" s="883">
        <f t="shared" si="79"/>
        <v>1008</v>
      </c>
      <c r="I297" s="844"/>
      <c r="J297" s="981">
        <v>5.31</v>
      </c>
      <c r="K297" s="842">
        <f t="shared" si="80"/>
        <v>6.72</v>
      </c>
    </row>
    <row r="298" spans="1:11" s="830" customFormat="1" ht="35.1" customHeight="1" outlineLevel="1">
      <c r="A298" s="844"/>
      <c r="B298" s="962" t="s">
        <v>769</v>
      </c>
      <c r="C298" s="414" t="s">
        <v>770</v>
      </c>
      <c r="D298" s="423" t="s">
        <v>771</v>
      </c>
      <c r="E298" s="414" t="s">
        <v>38</v>
      </c>
      <c r="F298" s="964">
        <f>Plan1!D249</f>
        <v>30</v>
      </c>
      <c r="G298" s="893">
        <f t="shared" si="78"/>
        <v>9.1999999999999993</v>
      </c>
      <c r="H298" s="883">
        <f t="shared" si="79"/>
        <v>276</v>
      </c>
      <c r="I298" s="844"/>
      <c r="J298" s="981">
        <v>7.27</v>
      </c>
      <c r="K298" s="842">
        <f t="shared" si="80"/>
        <v>9.1999999999999993</v>
      </c>
    </row>
    <row r="299" spans="1:11" s="830" customFormat="1" ht="35.1" customHeight="1" outlineLevel="1">
      <c r="A299" s="844"/>
      <c r="B299" s="962" t="s">
        <v>772</v>
      </c>
      <c r="C299" s="414" t="s">
        <v>770</v>
      </c>
      <c r="D299" s="423" t="s">
        <v>773</v>
      </c>
      <c r="E299" s="414" t="s">
        <v>38</v>
      </c>
      <c r="F299" s="964">
        <f>Plan1!D250</f>
        <v>30</v>
      </c>
      <c r="G299" s="893">
        <f t="shared" si="78"/>
        <v>9.1999999999999993</v>
      </c>
      <c r="H299" s="883">
        <f t="shared" si="79"/>
        <v>276</v>
      </c>
      <c r="I299" s="844"/>
      <c r="J299" s="981">
        <v>7.27</v>
      </c>
      <c r="K299" s="842">
        <f t="shared" si="80"/>
        <v>9.1999999999999993</v>
      </c>
    </row>
    <row r="300" spans="1:11" s="830" customFormat="1" ht="35.1" customHeight="1" outlineLevel="1">
      <c r="A300" s="844"/>
      <c r="B300" s="962" t="s">
        <v>774</v>
      </c>
      <c r="C300" s="414" t="s">
        <v>775</v>
      </c>
      <c r="D300" s="423" t="s">
        <v>776</v>
      </c>
      <c r="E300" s="414" t="s">
        <v>38</v>
      </c>
      <c r="F300" s="964">
        <f>Plan1!D251</f>
        <v>150</v>
      </c>
      <c r="G300" s="893">
        <f t="shared" si="78"/>
        <v>15.1</v>
      </c>
      <c r="H300" s="883">
        <f t="shared" si="79"/>
        <v>2265</v>
      </c>
      <c r="I300" s="844"/>
      <c r="J300" s="981">
        <v>11.93</v>
      </c>
      <c r="K300" s="842">
        <f t="shared" si="80"/>
        <v>15.1</v>
      </c>
    </row>
    <row r="301" spans="1:11" s="830" customFormat="1" ht="35.1" customHeight="1" outlineLevel="1">
      <c r="A301" s="844"/>
      <c r="B301" s="962" t="s">
        <v>777</v>
      </c>
      <c r="C301" s="414" t="s">
        <v>775</v>
      </c>
      <c r="D301" s="423" t="s">
        <v>778</v>
      </c>
      <c r="E301" s="414" t="s">
        <v>38</v>
      </c>
      <c r="F301" s="964">
        <f>Plan1!D252</f>
        <v>150</v>
      </c>
      <c r="G301" s="893">
        <f t="shared" si="78"/>
        <v>15.1</v>
      </c>
      <c r="H301" s="883">
        <f t="shared" si="79"/>
        <v>2265</v>
      </c>
      <c r="I301" s="844"/>
      <c r="J301" s="981">
        <v>11.93</v>
      </c>
      <c r="K301" s="842">
        <f t="shared" si="80"/>
        <v>15.1</v>
      </c>
    </row>
    <row r="302" spans="1:11" s="830" customFormat="1" ht="35.1" customHeight="1" outlineLevel="1">
      <c r="A302" s="844"/>
      <c r="B302" s="962" t="s">
        <v>779</v>
      </c>
      <c r="C302" s="414" t="s">
        <v>758</v>
      </c>
      <c r="D302" s="423" t="s">
        <v>780</v>
      </c>
      <c r="E302" s="414" t="s">
        <v>38</v>
      </c>
      <c r="F302" s="964">
        <f>Plan1!D253</f>
        <v>1500</v>
      </c>
      <c r="G302" s="893">
        <f t="shared" si="78"/>
        <v>4.1500000000000004</v>
      </c>
      <c r="H302" s="883">
        <f t="shared" si="79"/>
        <v>6225.0000000000009</v>
      </c>
      <c r="I302" s="844"/>
      <c r="J302" s="981">
        <v>3.28</v>
      </c>
      <c r="K302" s="842">
        <f t="shared" si="80"/>
        <v>4.1500000000000004</v>
      </c>
    </row>
    <row r="303" spans="1:11" s="830" customFormat="1" ht="35.1" customHeight="1" outlineLevel="1">
      <c r="A303" s="844"/>
      <c r="B303" s="962" t="s">
        <v>781</v>
      </c>
      <c r="C303" s="414" t="s">
        <v>782</v>
      </c>
      <c r="D303" s="423" t="s">
        <v>783</v>
      </c>
      <c r="E303" s="414" t="s">
        <v>38</v>
      </c>
      <c r="F303" s="964">
        <f>Plan1!D254</f>
        <v>380</v>
      </c>
      <c r="G303" s="893">
        <f t="shared" si="78"/>
        <v>67.75</v>
      </c>
      <c r="H303" s="883">
        <f t="shared" si="79"/>
        <v>25745</v>
      </c>
      <c r="I303" s="844"/>
      <c r="J303" s="981">
        <v>53.51</v>
      </c>
      <c r="K303" s="842">
        <f t="shared" si="80"/>
        <v>67.75</v>
      </c>
    </row>
    <row r="304" spans="1:11" s="830" customFormat="1" ht="35.1" customHeight="1" outlineLevel="1">
      <c r="A304" s="844"/>
      <c r="B304" s="962" t="s">
        <v>784</v>
      </c>
      <c r="C304" s="414" t="s">
        <v>785</v>
      </c>
      <c r="D304" s="423" t="s">
        <v>786</v>
      </c>
      <c r="E304" s="414" t="s">
        <v>38</v>
      </c>
      <c r="F304" s="964">
        <f>Plan1!D255</f>
        <v>130</v>
      </c>
      <c r="G304" s="893">
        <f t="shared" si="78"/>
        <v>24.93</v>
      </c>
      <c r="H304" s="883">
        <f t="shared" si="79"/>
        <v>3240.9</v>
      </c>
      <c r="I304" s="844"/>
      <c r="J304" s="981">
        <v>19.690000000000001</v>
      </c>
      <c r="K304" s="842">
        <f t="shared" si="80"/>
        <v>24.93</v>
      </c>
    </row>
    <row r="305" spans="1:1026" s="833" customFormat="1" ht="35.1" customHeight="1" outlineLevel="1">
      <c r="A305" s="939"/>
      <c r="B305" s="999" t="s">
        <v>787</v>
      </c>
      <c r="C305" s="463"/>
      <c r="D305" s="459" t="s">
        <v>788</v>
      </c>
      <c r="E305" s="463"/>
      <c r="F305" s="1002"/>
      <c r="G305" s="463"/>
      <c r="H305" s="1003"/>
      <c r="I305" s="939"/>
      <c r="J305" s="946"/>
      <c r="K305" s="947"/>
    </row>
    <row r="306" spans="1:1026" s="830" customFormat="1" ht="35.1" customHeight="1" outlineLevel="1">
      <c r="A306" s="844"/>
      <c r="B306" s="962" t="s">
        <v>789</v>
      </c>
      <c r="C306" s="963" t="s">
        <v>790</v>
      </c>
      <c r="D306" s="413" t="s">
        <v>791</v>
      </c>
      <c r="E306" s="414" t="s">
        <v>60</v>
      </c>
      <c r="F306" s="964">
        <f>Plan1!D257</f>
        <v>1</v>
      </c>
      <c r="G306" s="893">
        <f t="shared" ref="G306" si="81">K306</f>
        <v>9242.92</v>
      </c>
      <c r="H306" s="883">
        <f t="shared" ref="H306" si="82">F306*G306</f>
        <v>9242.92</v>
      </c>
      <c r="I306" s="844"/>
      <c r="J306" s="981">
        <v>7300.31</v>
      </c>
      <c r="K306" s="842">
        <f t="shared" ref="K306" si="83">ROUND(J306*(1+$H$14),2)</f>
        <v>9242.92</v>
      </c>
    </row>
    <row r="307" spans="1:1026" s="833" customFormat="1" ht="35.1" customHeight="1" outlineLevel="1">
      <c r="A307" s="939"/>
      <c r="B307" s="1004" t="s">
        <v>792</v>
      </c>
      <c r="C307" s="463"/>
      <c r="D307" s="459" t="s">
        <v>793</v>
      </c>
      <c r="E307" s="463"/>
      <c r="F307" s="1002"/>
      <c r="G307" s="463"/>
      <c r="H307" s="1003"/>
      <c r="I307" s="939"/>
      <c r="J307" s="946"/>
      <c r="K307" s="947"/>
    </row>
    <row r="308" spans="1:1026" s="830" customFormat="1" ht="40.5" customHeight="1" outlineLevel="1">
      <c r="A308" s="844"/>
      <c r="B308" s="962" t="s">
        <v>794</v>
      </c>
      <c r="C308" s="963" t="s">
        <v>795</v>
      </c>
      <c r="D308" s="419" t="s">
        <v>796</v>
      </c>
      <c r="E308" s="414" t="s">
        <v>691</v>
      </c>
      <c r="F308" s="964">
        <f>Plan1!D259</f>
        <v>9</v>
      </c>
      <c r="G308" s="893">
        <f t="shared" ref="G308" si="84">K308</f>
        <v>97.06</v>
      </c>
      <c r="H308" s="883">
        <f t="shared" ref="H308" si="85">F308*G308</f>
        <v>873.54</v>
      </c>
      <c r="I308" s="844"/>
      <c r="J308" s="981">
        <v>76.66</v>
      </c>
      <c r="K308" s="842">
        <f t="shared" ref="K308" si="86">ROUND(J308*(1+$H$14),2)</f>
        <v>97.06</v>
      </c>
    </row>
    <row r="309" spans="1:1026" s="833" customFormat="1" ht="24.95" customHeight="1" outlineLevel="1">
      <c r="A309" s="939"/>
      <c r="B309" s="997" t="s">
        <v>797</v>
      </c>
      <c r="C309" s="940"/>
      <c r="D309" s="464" t="s">
        <v>798</v>
      </c>
      <c r="E309" s="460"/>
      <c r="F309" s="998"/>
      <c r="G309" s="950"/>
      <c r="H309" s="945"/>
      <c r="I309" s="939"/>
      <c r="J309" s="946"/>
      <c r="K309" s="947"/>
    </row>
    <row r="310" spans="1:1026" s="832" customFormat="1" ht="29.25" customHeight="1" outlineLevel="1">
      <c r="A310" s="885"/>
      <c r="B310" s="1005" t="s">
        <v>799</v>
      </c>
      <c r="C310" s="420" t="s">
        <v>800</v>
      </c>
      <c r="D310" s="442" t="s">
        <v>801</v>
      </c>
      <c r="E310" s="420" t="s">
        <v>60</v>
      </c>
      <c r="F310" s="970">
        <f>Plan1!D261</f>
        <v>63</v>
      </c>
      <c r="G310" s="925">
        <f t="shared" ref="G310:G315" si="87">K310</f>
        <v>103.14</v>
      </c>
      <c r="H310" s="889">
        <f t="shared" ref="H310:H315" si="88">F310*G310</f>
        <v>6497.82</v>
      </c>
      <c r="I310" s="885"/>
      <c r="J310" s="982">
        <f>composições!F921</f>
        <v>81.459999999999994</v>
      </c>
      <c r="K310" s="916">
        <f t="shared" ref="K310:K315" si="89">ROUND(J310*(1+$H$14),2)</f>
        <v>103.14</v>
      </c>
    </row>
    <row r="311" spans="1:1026" s="832" customFormat="1" ht="30.75" customHeight="1" outlineLevel="1">
      <c r="A311" s="885"/>
      <c r="B311" s="1005" t="s">
        <v>802</v>
      </c>
      <c r="C311" s="420" t="s">
        <v>803</v>
      </c>
      <c r="D311" s="442" t="s">
        <v>804</v>
      </c>
      <c r="E311" s="420" t="s">
        <v>60</v>
      </c>
      <c r="F311" s="970">
        <f>Plan1!D262</f>
        <v>32</v>
      </c>
      <c r="G311" s="925">
        <f t="shared" si="87"/>
        <v>323.56</v>
      </c>
      <c r="H311" s="889">
        <f t="shared" si="88"/>
        <v>10353.92</v>
      </c>
      <c r="I311" s="885"/>
      <c r="J311" s="982">
        <f>composições!F956</f>
        <v>255.56</v>
      </c>
      <c r="K311" s="916">
        <f t="shared" si="89"/>
        <v>323.56</v>
      </c>
    </row>
    <row r="312" spans="1:1026" s="832" customFormat="1" ht="28.5" customHeight="1" outlineLevel="1">
      <c r="A312" s="885"/>
      <c r="B312" s="1005" t="s">
        <v>805</v>
      </c>
      <c r="C312" s="1005" t="s">
        <v>806</v>
      </c>
      <c r="D312" s="455" t="s">
        <v>807</v>
      </c>
      <c r="E312" s="420" t="s">
        <v>60</v>
      </c>
      <c r="F312" s="970">
        <f>Plan1!D263</f>
        <v>22</v>
      </c>
      <c r="G312" s="925">
        <f t="shared" si="87"/>
        <v>17.8</v>
      </c>
      <c r="H312" s="889">
        <f t="shared" si="88"/>
        <v>391.6</v>
      </c>
      <c r="I312" s="885"/>
      <c r="J312" s="981">
        <v>14.06</v>
      </c>
      <c r="K312" s="916">
        <f t="shared" si="89"/>
        <v>17.8</v>
      </c>
    </row>
    <row r="313" spans="1:1026" s="832" customFormat="1" ht="20.25" customHeight="1" outlineLevel="1">
      <c r="A313" s="885"/>
      <c r="B313" s="1005" t="s">
        <v>808</v>
      </c>
      <c r="C313" s="1005" t="s">
        <v>809</v>
      </c>
      <c r="D313" s="456" t="s">
        <v>810</v>
      </c>
      <c r="E313" s="420" t="s">
        <v>60</v>
      </c>
      <c r="F313" s="970">
        <f>Plan1!D264</f>
        <v>130</v>
      </c>
      <c r="G313" s="925">
        <f t="shared" si="87"/>
        <v>23.82</v>
      </c>
      <c r="H313" s="889">
        <f t="shared" si="88"/>
        <v>3096.6</v>
      </c>
      <c r="I313" s="885"/>
      <c r="J313" s="981">
        <v>18.809999999999999</v>
      </c>
      <c r="K313" s="916">
        <f t="shared" si="89"/>
        <v>23.82</v>
      </c>
    </row>
    <row r="314" spans="1:1026" s="832" customFormat="1" ht="42" customHeight="1" outlineLevel="1">
      <c r="A314" s="885"/>
      <c r="B314" s="1005" t="s">
        <v>811</v>
      </c>
      <c r="C314" s="1005" t="s">
        <v>812</v>
      </c>
      <c r="D314" s="438" t="s">
        <v>813</v>
      </c>
      <c r="E314" s="420" t="s">
        <v>60</v>
      </c>
      <c r="F314" s="970">
        <f>Plan1!D265</f>
        <v>10</v>
      </c>
      <c r="G314" s="925">
        <f t="shared" si="87"/>
        <v>66.27</v>
      </c>
      <c r="H314" s="889">
        <f t="shared" si="88"/>
        <v>662.69999999999993</v>
      </c>
      <c r="I314" s="885"/>
      <c r="J314" s="981">
        <v>52.34</v>
      </c>
      <c r="K314" s="916">
        <f t="shared" si="89"/>
        <v>66.27</v>
      </c>
    </row>
    <row r="315" spans="1:1026" s="832" customFormat="1" ht="36.75" customHeight="1" outlineLevel="1">
      <c r="A315" s="885"/>
      <c r="B315" s="1005" t="s">
        <v>814</v>
      </c>
      <c r="C315" s="1006" t="s">
        <v>649</v>
      </c>
      <c r="D315" s="438" t="s">
        <v>650</v>
      </c>
      <c r="E315" s="420" t="s">
        <v>60</v>
      </c>
      <c r="F315" s="970">
        <f>Plan1!D266</f>
        <v>7</v>
      </c>
      <c r="G315" s="925">
        <f t="shared" si="87"/>
        <v>38.25</v>
      </c>
      <c r="H315" s="889">
        <f t="shared" si="88"/>
        <v>267.75</v>
      </c>
      <c r="I315" s="885"/>
      <c r="J315" s="981">
        <v>30.21</v>
      </c>
      <c r="K315" s="916">
        <f t="shared" si="89"/>
        <v>38.25</v>
      </c>
    </row>
    <row r="316" spans="1:1026" s="827" customFormat="1" ht="24.95" customHeight="1" outlineLevel="1">
      <c r="A316" s="939"/>
      <c r="B316" s="997" t="s">
        <v>815</v>
      </c>
      <c r="C316" s="940"/>
      <c r="D316" s="465" t="s">
        <v>816</v>
      </c>
      <c r="E316" s="460"/>
      <c r="F316" s="998"/>
      <c r="G316" s="950"/>
      <c r="H316" s="945"/>
      <c r="I316" s="939"/>
      <c r="J316" s="946"/>
      <c r="K316" s="947"/>
      <c r="L316" s="948"/>
      <c r="M316" s="948"/>
      <c r="N316" s="948"/>
      <c r="O316" s="948"/>
      <c r="P316" s="948"/>
      <c r="Q316" s="948"/>
      <c r="R316" s="948"/>
      <c r="S316" s="948"/>
      <c r="T316" s="948"/>
      <c r="U316" s="948"/>
      <c r="V316" s="948"/>
      <c r="W316" s="948"/>
      <c r="X316" s="948"/>
      <c r="Y316" s="948"/>
      <c r="Z316" s="948"/>
      <c r="AA316" s="948"/>
      <c r="AB316" s="948"/>
      <c r="AC316" s="948"/>
      <c r="AD316" s="948"/>
      <c r="AE316" s="948"/>
      <c r="AF316" s="948"/>
      <c r="AG316" s="948"/>
      <c r="AH316" s="948"/>
      <c r="AI316" s="948"/>
      <c r="AJ316" s="948"/>
      <c r="AK316" s="948"/>
      <c r="AL316" s="948"/>
      <c r="AM316" s="948"/>
      <c r="AN316" s="948"/>
      <c r="AO316" s="948"/>
      <c r="AP316" s="948"/>
      <c r="AQ316" s="948"/>
      <c r="AR316" s="948"/>
      <c r="AS316" s="948"/>
      <c r="AT316" s="948"/>
      <c r="AU316" s="948"/>
      <c r="AV316" s="948"/>
      <c r="AW316" s="948"/>
      <c r="AX316" s="948"/>
      <c r="AY316" s="948"/>
      <c r="AZ316" s="948"/>
      <c r="BA316" s="948"/>
      <c r="BB316" s="948"/>
      <c r="BC316" s="948"/>
      <c r="BD316" s="948"/>
      <c r="BE316" s="948"/>
      <c r="BF316" s="948"/>
      <c r="BG316" s="948"/>
      <c r="BH316" s="948"/>
      <c r="BI316" s="948"/>
      <c r="BJ316" s="948"/>
      <c r="BK316" s="948"/>
      <c r="BL316" s="948"/>
      <c r="BM316" s="948"/>
      <c r="BN316" s="948"/>
      <c r="BO316" s="948"/>
      <c r="BP316" s="948"/>
      <c r="BQ316" s="948"/>
      <c r="BR316" s="948"/>
      <c r="BS316" s="948"/>
      <c r="BT316" s="948"/>
      <c r="BU316" s="948"/>
      <c r="BV316" s="948"/>
      <c r="BW316" s="948"/>
      <c r="BX316" s="948"/>
      <c r="BY316" s="948"/>
      <c r="BZ316" s="948"/>
      <c r="CA316" s="948"/>
      <c r="CB316" s="948"/>
      <c r="CC316" s="948"/>
      <c r="CD316" s="948"/>
      <c r="CE316" s="948"/>
      <c r="CF316" s="948"/>
      <c r="CG316" s="948"/>
      <c r="CH316" s="948"/>
      <c r="CI316" s="948"/>
      <c r="CJ316" s="948"/>
      <c r="CK316" s="948"/>
      <c r="CL316" s="948"/>
      <c r="CM316" s="948"/>
      <c r="CN316" s="948"/>
      <c r="CO316" s="948"/>
      <c r="CP316" s="948"/>
      <c r="CQ316" s="948"/>
      <c r="CR316" s="948"/>
      <c r="CS316" s="948"/>
      <c r="CT316" s="948"/>
      <c r="CU316" s="948"/>
      <c r="CV316" s="948"/>
      <c r="CW316" s="948"/>
      <c r="CX316" s="948"/>
      <c r="CY316" s="948"/>
      <c r="CZ316" s="948"/>
      <c r="DA316" s="948"/>
      <c r="DB316" s="948"/>
      <c r="DC316" s="948"/>
      <c r="DD316" s="948"/>
      <c r="DE316" s="948"/>
      <c r="DF316" s="948"/>
      <c r="DG316" s="948"/>
      <c r="DH316" s="948"/>
      <c r="DI316" s="948"/>
      <c r="DJ316" s="948"/>
      <c r="DK316" s="948"/>
      <c r="DL316" s="948"/>
      <c r="DM316" s="948"/>
      <c r="DN316" s="948"/>
      <c r="DO316" s="948"/>
      <c r="DP316" s="948"/>
      <c r="DQ316" s="948"/>
      <c r="DR316" s="948"/>
      <c r="DS316" s="948"/>
      <c r="DT316" s="948"/>
      <c r="DU316" s="948"/>
      <c r="DV316" s="948"/>
      <c r="DW316" s="948"/>
      <c r="DX316" s="948"/>
      <c r="DY316" s="948"/>
      <c r="DZ316" s="948"/>
      <c r="EA316" s="948"/>
      <c r="EB316" s="948"/>
      <c r="EC316" s="948"/>
      <c r="ED316" s="948"/>
      <c r="EE316" s="948"/>
      <c r="EF316" s="948"/>
      <c r="EG316" s="948"/>
      <c r="EH316" s="948"/>
      <c r="EI316" s="948"/>
      <c r="EJ316" s="948"/>
      <c r="EK316" s="948"/>
      <c r="EL316" s="948"/>
      <c r="EM316" s="948"/>
      <c r="EN316" s="948"/>
      <c r="EO316" s="948"/>
      <c r="EP316" s="948"/>
      <c r="EQ316" s="948"/>
      <c r="ER316" s="948"/>
      <c r="ES316" s="948"/>
      <c r="ET316" s="948"/>
      <c r="EU316" s="948"/>
      <c r="EV316" s="948"/>
      <c r="EW316" s="948"/>
      <c r="EX316" s="948"/>
      <c r="EY316" s="948"/>
      <c r="EZ316" s="948"/>
      <c r="FA316" s="948"/>
      <c r="FB316" s="948"/>
      <c r="FC316" s="948"/>
      <c r="FD316" s="948"/>
      <c r="FE316" s="948"/>
      <c r="FF316" s="948"/>
      <c r="FG316" s="948"/>
      <c r="FH316" s="948"/>
      <c r="FI316" s="948"/>
      <c r="FJ316" s="948"/>
      <c r="FK316" s="948"/>
      <c r="FL316" s="948"/>
      <c r="FM316" s="948"/>
      <c r="FN316" s="948"/>
      <c r="FO316" s="948"/>
      <c r="FP316" s="948"/>
      <c r="FQ316" s="948"/>
      <c r="FR316" s="948"/>
      <c r="FS316" s="948"/>
      <c r="FT316" s="948"/>
      <c r="FU316" s="948"/>
      <c r="FV316" s="948"/>
      <c r="FW316" s="948"/>
      <c r="FX316" s="948"/>
      <c r="FY316" s="948"/>
      <c r="FZ316" s="948"/>
      <c r="GA316" s="948"/>
      <c r="GB316" s="948"/>
      <c r="GC316" s="948"/>
      <c r="GD316" s="948"/>
      <c r="GE316" s="948"/>
      <c r="GF316" s="948"/>
      <c r="GG316" s="948"/>
      <c r="GH316" s="948"/>
      <c r="GI316" s="948"/>
      <c r="GJ316" s="948"/>
      <c r="GK316" s="948"/>
      <c r="GL316" s="948"/>
      <c r="GM316" s="948"/>
      <c r="GN316" s="948"/>
      <c r="GO316" s="948"/>
      <c r="GP316" s="948"/>
      <c r="GQ316" s="948"/>
      <c r="GR316" s="948"/>
      <c r="GS316" s="948"/>
      <c r="GT316" s="948"/>
      <c r="GU316" s="948"/>
      <c r="GV316" s="948"/>
      <c r="GW316" s="948"/>
      <c r="GX316" s="948"/>
      <c r="GY316" s="948"/>
      <c r="GZ316" s="948"/>
      <c r="HA316" s="948"/>
      <c r="HB316" s="948"/>
      <c r="HC316" s="948"/>
      <c r="HD316" s="948"/>
      <c r="HE316" s="948"/>
      <c r="HF316" s="948"/>
      <c r="HG316" s="948"/>
      <c r="HH316" s="948"/>
      <c r="HI316" s="948"/>
      <c r="HJ316" s="948"/>
      <c r="HK316" s="948"/>
      <c r="HL316" s="948"/>
      <c r="HM316" s="948"/>
      <c r="HN316" s="948"/>
      <c r="HO316" s="948"/>
      <c r="HP316" s="948"/>
      <c r="HQ316" s="948"/>
      <c r="HR316" s="948"/>
      <c r="HS316" s="948"/>
      <c r="HT316" s="948"/>
      <c r="HU316" s="948"/>
      <c r="HV316" s="948"/>
      <c r="HW316" s="948"/>
      <c r="HX316" s="948"/>
      <c r="HY316" s="948"/>
      <c r="HZ316" s="948"/>
      <c r="IA316" s="948"/>
      <c r="IB316" s="948"/>
      <c r="IC316" s="948"/>
      <c r="ID316" s="948"/>
      <c r="IE316" s="948"/>
      <c r="IF316" s="948"/>
      <c r="IG316" s="948"/>
      <c r="IH316" s="948"/>
      <c r="II316" s="948"/>
      <c r="IJ316" s="948"/>
      <c r="IK316" s="948"/>
      <c r="IL316" s="948"/>
      <c r="IM316" s="948"/>
      <c r="IN316" s="948"/>
      <c r="IO316" s="948"/>
      <c r="IP316" s="948"/>
      <c r="IQ316" s="948"/>
      <c r="IR316" s="948"/>
      <c r="IS316" s="948"/>
      <c r="IT316" s="948"/>
      <c r="IU316" s="948"/>
      <c r="IV316" s="948"/>
      <c r="IW316" s="948"/>
      <c r="IX316" s="948"/>
      <c r="IY316" s="948"/>
      <c r="IZ316" s="948"/>
      <c r="JA316" s="948"/>
      <c r="JB316" s="948"/>
      <c r="JC316" s="948"/>
      <c r="JD316" s="948"/>
      <c r="JE316" s="948"/>
      <c r="JF316" s="948"/>
      <c r="JG316" s="948"/>
      <c r="JH316" s="948"/>
      <c r="JI316" s="948"/>
      <c r="JJ316" s="948"/>
      <c r="JK316" s="948"/>
      <c r="JL316" s="948"/>
      <c r="JM316" s="948"/>
      <c r="JN316" s="948"/>
      <c r="JO316" s="948"/>
      <c r="JP316" s="948"/>
      <c r="JQ316" s="948"/>
      <c r="JR316" s="948"/>
      <c r="JS316" s="948"/>
      <c r="JT316" s="948"/>
      <c r="JU316" s="948"/>
      <c r="JV316" s="948"/>
      <c r="JW316" s="948"/>
      <c r="JX316" s="948"/>
      <c r="JY316" s="948"/>
      <c r="JZ316" s="948"/>
      <c r="KA316" s="948"/>
      <c r="KB316" s="948"/>
      <c r="KC316" s="948"/>
      <c r="KD316" s="948"/>
      <c r="KE316" s="948"/>
      <c r="KF316" s="948"/>
      <c r="KG316" s="948"/>
      <c r="KH316" s="948"/>
      <c r="KI316" s="948"/>
      <c r="KJ316" s="948"/>
      <c r="KK316" s="948"/>
      <c r="KL316" s="948"/>
      <c r="KM316" s="948"/>
      <c r="KN316" s="948"/>
      <c r="KO316" s="948"/>
      <c r="KP316" s="948"/>
      <c r="KQ316" s="948"/>
      <c r="KR316" s="948"/>
      <c r="KS316" s="948"/>
      <c r="KT316" s="948"/>
      <c r="KU316" s="948"/>
      <c r="KV316" s="948"/>
      <c r="KW316" s="948"/>
      <c r="KX316" s="948"/>
      <c r="KY316" s="948"/>
      <c r="KZ316" s="948"/>
      <c r="LA316" s="948"/>
      <c r="LB316" s="948"/>
      <c r="LC316" s="948"/>
      <c r="LD316" s="948"/>
      <c r="LE316" s="948"/>
      <c r="LF316" s="948"/>
      <c r="LG316" s="948"/>
      <c r="LH316" s="948"/>
      <c r="LI316" s="948"/>
      <c r="LJ316" s="948"/>
      <c r="LK316" s="948"/>
      <c r="LL316" s="948"/>
      <c r="LM316" s="948"/>
      <c r="LN316" s="948"/>
      <c r="LO316" s="948"/>
      <c r="LP316" s="948"/>
      <c r="LQ316" s="948"/>
      <c r="LR316" s="948"/>
      <c r="LS316" s="948"/>
      <c r="LT316" s="948"/>
      <c r="LU316" s="948"/>
      <c r="LV316" s="948"/>
      <c r="LW316" s="948"/>
      <c r="LX316" s="948"/>
      <c r="LY316" s="948"/>
      <c r="LZ316" s="948"/>
      <c r="MA316" s="948"/>
      <c r="MB316" s="948"/>
      <c r="MC316" s="948"/>
      <c r="MD316" s="948"/>
      <c r="ME316" s="948"/>
      <c r="MF316" s="948"/>
      <c r="MG316" s="948"/>
      <c r="MH316" s="948"/>
      <c r="MI316" s="948"/>
      <c r="MJ316" s="948"/>
      <c r="MK316" s="948"/>
      <c r="ML316" s="948"/>
      <c r="MM316" s="948"/>
      <c r="MN316" s="948"/>
      <c r="MO316" s="948"/>
      <c r="MP316" s="948"/>
      <c r="MQ316" s="948"/>
      <c r="MR316" s="948"/>
      <c r="MS316" s="948"/>
      <c r="MT316" s="948"/>
      <c r="MU316" s="948"/>
      <c r="MV316" s="948"/>
      <c r="MW316" s="948"/>
      <c r="MX316" s="948"/>
      <c r="MY316" s="948"/>
      <c r="MZ316" s="948"/>
      <c r="NA316" s="948"/>
      <c r="NB316" s="948"/>
      <c r="NC316" s="948"/>
      <c r="ND316" s="948"/>
      <c r="NE316" s="948"/>
      <c r="NF316" s="948"/>
      <c r="NG316" s="948"/>
      <c r="NH316" s="948"/>
      <c r="NI316" s="948"/>
      <c r="NJ316" s="948"/>
      <c r="NK316" s="948"/>
      <c r="NL316" s="948"/>
      <c r="NM316" s="948"/>
      <c r="NN316" s="948"/>
      <c r="NO316" s="948"/>
      <c r="NP316" s="948"/>
      <c r="NQ316" s="948"/>
      <c r="NR316" s="948"/>
      <c r="NS316" s="948"/>
      <c r="NT316" s="948"/>
      <c r="NU316" s="948"/>
      <c r="NV316" s="948"/>
      <c r="NW316" s="948"/>
      <c r="NX316" s="948"/>
      <c r="NY316" s="948"/>
      <c r="NZ316" s="948"/>
      <c r="OA316" s="948"/>
      <c r="OB316" s="948"/>
      <c r="OC316" s="948"/>
      <c r="OD316" s="948"/>
      <c r="OE316" s="948"/>
      <c r="OF316" s="948"/>
      <c r="OG316" s="948"/>
      <c r="OH316" s="948"/>
      <c r="OI316" s="948"/>
      <c r="OJ316" s="948"/>
      <c r="OK316" s="948"/>
      <c r="OL316" s="948"/>
      <c r="OM316" s="948"/>
      <c r="ON316" s="948"/>
      <c r="OO316" s="948"/>
      <c r="OP316" s="948"/>
      <c r="OQ316" s="948"/>
      <c r="OR316" s="948"/>
      <c r="OS316" s="948"/>
      <c r="OT316" s="948"/>
      <c r="OU316" s="948"/>
      <c r="OV316" s="948"/>
      <c r="OW316" s="948"/>
      <c r="OX316" s="948"/>
      <c r="OY316" s="948"/>
      <c r="OZ316" s="948"/>
      <c r="PA316" s="948"/>
      <c r="PB316" s="948"/>
      <c r="PC316" s="948"/>
      <c r="PD316" s="948"/>
      <c r="PE316" s="948"/>
      <c r="PF316" s="948"/>
      <c r="PG316" s="948"/>
      <c r="PH316" s="948"/>
      <c r="PI316" s="948"/>
      <c r="PJ316" s="948"/>
      <c r="PK316" s="948"/>
      <c r="PL316" s="948"/>
      <c r="PM316" s="948"/>
      <c r="PN316" s="948"/>
      <c r="PO316" s="948"/>
      <c r="PP316" s="948"/>
      <c r="PQ316" s="948"/>
      <c r="PR316" s="948"/>
      <c r="PS316" s="948"/>
      <c r="PT316" s="948"/>
      <c r="PU316" s="948"/>
      <c r="PV316" s="948"/>
      <c r="PW316" s="948"/>
      <c r="PX316" s="948"/>
      <c r="PY316" s="948"/>
      <c r="PZ316" s="948"/>
      <c r="QA316" s="948"/>
      <c r="QB316" s="948"/>
      <c r="QC316" s="948"/>
      <c r="QD316" s="948"/>
      <c r="QE316" s="948"/>
      <c r="QF316" s="948"/>
      <c r="QG316" s="948"/>
      <c r="QH316" s="948"/>
      <c r="QI316" s="948"/>
      <c r="QJ316" s="948"/>
      <c r="QK316" s="948"/>
      <c r="QL316" s="948"/>
      <c r="QM316" s="948"/>
      <c r="QN316" s="948"/>
      <c r="QO316" s="948"/>
      <c r="QP316" s="948"/>
      <c r="QQ316" s="948"/>
      <c r="QR316" s="948"/>
      <c r="QS316" s="948"/>
      <c r="QT316" s="948"/>
      <c r="QU316" s="948"/>
      <c r="QV316" s="948"/>
      <c r="QW316" s="948"/>
      <c r="QX316" s="948"/>
      <c r="QY316" s="948"/>
      <c r="QZ316" s="948"/>
      <c r="RA316" s="948"/>
      <c r="RB316" s="948"/>
      <c r="RC316" s="948"/>
      <c r="RD316" s="948"/>
      <c r="RE316" s="948"/>
      <c r="RF316" s="948"/>
      <c r="RG316" s="948"/>
      <c r="RH316" s="948"/>
      <c r="RI316" s="948"/>
      <c r="RJ316" s="948"/>
      <c r="RK316" s="948"/>
      <c r="RL316" s="948"/>
      <c r="RM316" s="948"/>
      <c r="RN316" s="948"/>
      <c r="RO316" s="948"/>
      <c r="RP316" s="948"/>
      <c r="RQ316" s="948"/>
      <c r="RR316" s="948"/>
      <c r="RS316" s="948"/>
      <c r="RT316" s="948"/>
      <c r="RU316" s="948"/>
      <c r="RV316" s="948"/>
      <c r="RW316" s="948"/>
      <c r="RX316" s="948"/>
      <c r="RY316" s="948"/>
      <c r="RZ316" s="948"/>
      <c r="SA316" s="948"/>
      <c r="SB316" s="948"/>
      <c r="SC316" s="948"/>
      <c r="SD316" s="948"/>
      <c r="SE316" s="948"/>
      <c r="SF316" s="948"/>
      <c r="SG316" s="948"/>
      <c r="SH316" s="948"/>
      <c r="SI316" s="948"/>
      <c r="SJ316" s="948"/>
      <c r="SK316" s="948"/>
      <c r="SL316" s="948"/>
      <c r="SM316" s="948"/>
      <c r="SN316" s="948"/>
      <c r="SO316" s="948"/>
      <c r="SP316" s="948"/>
      <c r="SQ316" s="948"/>
      <c r="SR316" s="948"/>
      <c r="SS316" s="948"/>
      <c r="ST316" s="948"/>
      <c r="SU316" s="948"/>
      <c r="SV316" s="948"/>
      <c r="SW316" s="948"/>
      <c r="SX316" s="948"/>
      <c r="SY316" s="948"/>
      <c r="SZ316" s="948"/>
      <c r="TA316" s="948"/>
      <c r="TB316" s="948"/>
      <c r="TC316" s="948"/>
      <c r="TD316" s="948"/>
      <c r="TE316" s="948"/>
      <c r="TF316" s="948"/>
      <c r="TG316" s="948"/>
      <c r="TH316" s="948"/>
      <c r="TI316" s="948"/>
      <c r="TJ316" s="948"/>
      <c r="TK316" s="948"/>
      <c r="TL316" s="948"/>
      <c r="TM316" s="948"/>
      <c r="TN316" s="948"/>
      <c r="TO316" s="948"/>
      <c r="TP316" s="948"/>
      <c r="TQ316" s="948"/>
      <c r="TR316" s="948"/>
      <c r="TS316" s="948"/>
      <c r="TT316" s="948"/>
      <c r="TU316" s="948"/>
      <c r="TV316" s="948"/>
      <c r="TW316" s="948"/>
      <c r="TX316" s="948"/>
      <c r="TY316" s="948"/>
      <c r="TZ316" s="948"/>
      <c r="UA316" s="948"/>
      <c r="UB316" s="948"/>
      <c r="UC316" s="948"/>
      <c r="UD316" s="948"/>
      <c r="UE316" s="948"/>
      <c r="UF316" s="948"/>
      <c r="UG316" s="948"/>
      <c r="UH316" s="948"/>
      <c r="UI316" s="948"/>
      <c r="UJ316" s="948"/>
      <c r="UK316" s="948"/>
      <c r="UL316" s="948"/>
      <c r="UM316" s="948"/>
      <c r="UN316" s="948"/>
      <c r="UO316" s="948"/>
      <c r="UP316" s="948"/>
      <c r="UQ316" s="948"/>
      <c r="UR316" s="948"/>
      <c r="US316" s="948"/>
      <c r="UT316" s="948"/>
      <c r="UU316" s="948"/>
      <c r="UV316" s="948"/>
      <c r="UW316" s="948"/>
      <c r="UX316" s="948"/>
      <c r="UY316" s="948"/>
      <c r="UZ316" s="948"/>
      <c r="VA316" s="948"/>
      <c r="VB316" s="948"/>
      <c r="VC316" s="948"/>
      <c r="VD316" s="948"/>
      <c r="VE316" s="948"/>
      <c r="VF316" s="948"/>
      <c r="VG316" s="948"/>
      <c r="VH316" s="948"/>
      <c r="VI316" s="948"/>
      <c r="VJ316" s="948"/>
      <c r="VK316" s="948"/>
      <c r="VL316" s="948"/>
      <c r="VM316" s="948"/>
      <c r="VN316" s="948"/>
      <c r="VO316" s="948"/>
      <c r="VP316" s="948"/>
      <c r="VQ316" s="948"/>
      <c r="VR316" s="948"/>
      <c r="VS316" s="948"/>
      <c r="VT316" s="948"/>
      <c r="VU316" s="948"/>
      <c r="VV316" s="948"/>
      <c r="VW316" s="948"/>
      <c r="VX316" s="948"/>
      <c r="VY316" s="948"/>
      <c r="VZ316" s="948"/>
      <c r="WA316" s="948"/>
      <c r="WB316" s="948"/>
      <c r="WC316" s="948"/>
      <c r="WD316" s="948"/>
      <c r="WE316" s="948"/>
      <c r="WF316" s="948"/>
      <c r="WG316" s="948"/>
      <c r="WH316" s="948"/>
      <c r="WI316" s="948"/>
      <c r="WJ316" s="948"/>
      <c r="WK316" s="948"/>
      <c r="WL316" s="948"/>
      <c r="WM316" s="948"/>
      <c r="WN316" s="948"/>
      <c r="WO316" s="948"/>
      <c r="WP316" s="948"/>
      <c r="WQ316" s="948"/>
      <c r="WR316" s="948"/>
      <c r="WS316" s="948"/>
      <c r="WT316" s="948"/>
      <c r="WU316" s="948"/>
      <c r="WV316" s="948"/>
      <c r="WW316" s="948"/>
      <c r="WX316" s="948"/>
      <c r="WY316" s="948"/>
      <c r="WZ316" s="948"/>
      <c r="XA316" s="948"/>
      <c r="XB316" s="948"/>
      <c r="XC316" s="948"/>
      <c r="XD316" s="948"/>
      <c r="XE316" s="948"/>
      <c r="XF316" s="948"/>
      <c r="XG316" s="948"/>
      <c r="XH316" s="948"/>
      <c r="XI316" s="948"/>
      <c r="XJ316" s="948"/>
      <c r="XK316" s="948"/>
      <c r="XL316" s="948"/>
      <c r="XM316" s="948"/>
      <c r="XN316" s="948"/>
      <c r="XO316" s="948"/>
      <c r="XP316" s="948"/>
      <c r="XQ316" s="948"/>
      <c r="XR316" s="948"/>
      <c r="XS316" s="948"/>
      <c r="XT316" s="948"/>
      <c r="XU316" s="948"/>
      <c r="XV316" s="948"/>
      <c r="XW316" s="948"/>
      <c r="XX316" s="948"/>
      <c r="XY316" s="948"/>
      <c r="XZ316" s="948"/>
      <c r="YA316" s="948"/>
      <c r="YB316" s="948"/>
      <c r="YC316" s="948"/>
      <c r="YD316" s="948"/>
      <c r="YE316" s="948"/>
      <c r="YF316" s="948"/>
      <c r="YG316" s="948"/>
      <c r="YH316" s="948"/>
      <c r="YI316" s="948"/>
      <c r="YJ316" s="948"/>
      <c r="YK316" s="948"/>
      <c r="YL316" s="948"/>
      <c r="YM316" s="948"/>
      <c r="YN316" s="948"/>
      <c r="YO316" s="948"/>
      <c r="YP316" s="948"/>
      <c r="YQ316" s="948"/>
      <c r="YR316" s="948"/>
      <c r="YS316" s="948"/>
      <c r="YT316" s="948"/>
      <c r="YU316" s="948"/>
      <c r="YV316" s="948"/>
      <c r="YW316" s="948"/>
      <c r="YX316" s="948"/>
      <c r="YY316" s="948"/>
      <c r="YZ316" s="948"/>
      <c r="ZA316" s="948"/>
      <c r="ZB316" s="948"/>
      <c r="ZC316" s="948"/>
      <c r="ZD316" s="948"/>
      <c r="ZE316" s="948"/>
      <c r="ZF316" s="948"/>
      <c r="ZG316" s="948"/>
      <c r="ZH316" s="948"/>
      <c r="ZI316" s="948"/>
      <c r="ZJ316" s="948"/>
      <c r="ZK316" s="948"/>
      <c r="ZL316" s="948"/>
      <c r="ZM316" s="948"/>
      <c r="ZN316" s="948"/>
      <c r="ZO316" s="948"/>
      <c r="ZP316" s="948"/>
      <c r="ZQ316" s="948"/>
      <c r="ZR316" s="948"/>
      <c r="ZS316" s="948"/>
      <c r="ZT316" s="948"/>
      <c r="ZU316" s="948"/>
      <c r="ZV316" s="948"/>
      <c r="ZW316" s="948"/>
      <c r="ZX316" s="948"/>
      <c r="ZY316" s="948"/>
      <c r="ZZ316" s="948"/>
      <c r="AAA316" s="948"/>
      <c r="AAB316" s="948"/>
      <c r="AAC316" s="948"/>
      <c r="AAD316" s="948"/>
      <c r="AAE316" s="948"/>
      <c r="AAF316" s="948"/>
      <c r="AAG316" s="948"/>
      <c r="AAH316" s="948"/>
      <c r="AAI316" s="948"/>
      <c r="AAJ316" s="948"/>
      <c r="AAK316" s="948"/>
      <c r="AAL316" s="948"/>
      <c r="AAM316" s="948"/>
      <c r="AAN316" s="948"/>
      <c r="AAO316" s="948"/>
      <c r="AAP316" s="948"/>
      <c r="AAQ316" s="948"/>
      <c r="AAR316" s="948"/>
      <c r="AAS316" s="948"/>
      <c r="AAT316" s="948"/>
      <c r="AAU316" s="948"/>
      <c r="AAV316" s="948"/>
      <c r="AAW316" s="948"/>
      <c r="AAX316" s="948"/>
      <c r="AAY316" s="948"/>
      <c r="AAZ316" s="948"/>
      <c r="ABA316" s="948"/>
      <c r="ABB316" s="948"/>
      <c r="ABC316" s="948"/>
      <c r="ABD316" s="948"/>
      <c r="ABE316" s="948"/>
      <c r="ABF316" s="948"/>
      <c r="ABG316" s="948"/>
      <c r="ABH316" s="948"/>
      <c r="ABI316" s="948"/>
      <c r="ABJ316" s="948"/>
      <c r="ABK316" s="948"/>
      <c r="ABL316" s="948"/>
      <c r="ABM316" s="948"/>
      <c r="ABN316" s="948"/>
      <c r="ABO316" s="948"/>
      <c r="ABP316" s="948"/>
      <c r="ABQ316" s="948"/>
      <c r="ABR316" s="948"/>
      <c r="ABS316" s="948"/>
      <c r="ABT316" s="948"/>
      <c r="ABU316" s="948"/>
      <c r="ABV316" s="948"/>
      <c r="ABW316" s="948"/>
      <c r="ABX316" s="948"/>
      <c r="ABY316" s="948"/>
      <c r="ABZ316" s="948"/>
      <c r="ACA316" s="948"/>
      <c r="ACB316" s="948"/>
      <c r="ACC316" s="948"/>
      <c r="ACD316" s="948"/>
      <c r="ACE316" s="948"/>
      <c r="ACF316" s="948"/>
      <c r="ACG316" s="948"/>
      <c r="ACH316" s="948"/>
      <c r="ACI316" s="948"/>
      <c r="ACJ316" s="948"/>
      <c r="ACK316" s="948"/>
      <c r="ACL316" s="948"/>
      <c r="ACM316" s="948"/>
      <c r="ACN316" s="948"/>
      <c r="ACO316" s="948"/>
      <c r="ACP316" s="948"/>
      <c r="ACQ316" s="948"/>
      <c r="ACR316" s="948"/>
      <c r="ACS316" s="948"/>
      <c r="ACT316" s="948"/>
      <c r="ACU316" s="948"/>
      <c r="ACV316" s="948"/>
      <c r="ACW316" s="948"/>
      <c r="ACX316" s="948"/>
      <c r="ACY316" s="948"/>
      <c r="ACZ316" s="948"/>
      <c r="ADA316" s="948"/>
      <c r="ADB316" s="948"/>
      <c r="ADC316" s="948"/>
      <c r="ADD316" s="948"/>
      <c r="ADE316" s="948"/>
      <c r="ADF316" s="948"/>
      <c r="ADG316" s="948"/>
      <c r="ADH316" s="948"/>
      <c r="ADI316" s="948"/>
      <c r="ADJ316" s="948"/>
      <c r="ADK316" s="948"/>
      <c r="ADL316" s="948"/>
      <c r="ADM316" s="948"/>
      <c r="ADN316" s="948"/>
      <c r="ADO316" s="948"/>
      <c r="ADP316" s="948"/>
      <c r="ADQ316" s="948"/>
      <c r="ADR316" s="948"/>
      <c r="ADS316" s="948"/>
      <c r="ADT316" s="948"/>
      <c r="ADU316" s="948"/>
      <c r="ADV316" s="948"/>
      <c r="ADW316" s="948"/>
      <c r="ADX316" s="948"/>
      <c r="ADY316" s="948"/>
      <c r="ADZ316" s="948"/>
      <c r="AEA316" s="948"/>
      <c r="AEB316" s="948"/>
      <c r="AEC316" s="948"/>
      <c r="AED316" s="948"/>
      <c r="AEE316" s="948"/>
      <c r="AEF316" s="948"/>
      <c r="AEG316" s="948"/>
      <c r="AEH316" s="948"/>
      <c r="AEI316" s="948"/>
      <c r="AEJ316" s="948"/>
      <c r="AEK316" s="948"/>
      <c r="AEL316" s="948"/>
      <c r="AEM316" s="948"/>
      <c r="AEN316" s="948"/>
      <c r="AEO316" s="948"/>
      <c r="AEP316" s="948"/>
      <c r="AEQ316" s="948"/>
      <c r="AER316" s="948"/>
      <c r="AES316" s="948"/>
      <c r="AET316" s="948"/>
      <c r="AEU316" s="948"/>
      <c r="AEV316" s="948"/>
      <c r="AEW316" s="948"/>
      <c r="AEX316" s="948"/>
      <c r="AEY316" s="948"/>
      <c r="AEZ316" s="948"/>
      <c r="AFA316" s="948"/>
      <c r="AFB316" s="948"/>
      <c r="AFC316" s="948"/>
      <c r="AFD316" s="948"/>
      <c r="AFE316" s="948"/>
      <c r="AFF316" s="948"/>
      <c r="AFG316" s="948"/>
      <c r="AFH316" s="948"/>
      <c r="AFI316" s="948"/>
      <c r="AFJ316" s="948"/>
      <c r="AFK316" s="948"/>
      <c r="AFL316" s="948"/>
      <c r="AFM316" s="948"/>
      <c r="AFN316" s="948"/>
      <c r="AFO316" s="948"/>
      <c r="AFP316" s="948"/>
      <c r="AFQ316" s="948"/>
      <c r="AFR316" s="948"/>
      <c r="AFS316" s="948"/>
      <c r="AFT316" s="948"/>
      <c r="AFU316" s="948"/>
      <c r="AFV316" s="948"/>
      <c r="AFW316" s="948"/>
      <c r="AFX316" s="948"/>
      <c r="AFY316" s="948"/>
      <c r="AFZ316" s="948"/>
      <c r="AGA316" s="948"/>
      <c r="AGB316" s="948"/>
      <c r="AGC316" s="948"/>
      <c r="AGD316" s="948"/>
      <c r="AGE316" s="948"/>
      <c r="AGF316" s="948"/>
      <c r="AGG316" s="948"/>
      <c r="AGH316" s="948"/>
      <c r="AGI316" s="948"/>
      <c r="AGJ316" s="948"/>
      <c r="AGK316" s="948"/>
      <c r="AGL316" s="948"/>
      <c r="AGM316" s="948"/>
      <c r="AGN316" s="948"/>
      <c r="AGO316" s="948"/>
      <c r="AGP316" s="948"/>
      <c r="AGQ316" s="948"/>
      <c r="AGR316" s="948"/>
      <c r="AGS316" s="948"/>
      <c r="AGT316" s="948"/>
      <c r="AGU316" s="948"/>
      <c r="AGV316" s="948"/>
      <c r="AGW316" s="948"/>
      <c r="AGX316" s="948"/>
      <c r="AGY316" s="948"/>
      <c r="AGZ316" s="948"/>
      <c r="AHA316" s="948"/>
      <c r="AHB316" s="948"/>
      <c r="AHC316" s="948"/>
      <c r="AHD316" s="948"/>
      <c r="AHE316" s="948"/>
      <c r="AHF316" s="948"/>
      <c r="AHG316" s="948"/>
      <c r="AHH316" s="948"/>
      <c r="AHI316" s="948"/>
      <c r="AHJ316" s="948"/>
      <c r="AHK316" s="948"/>
      <c r="AHL316" s="948"/>
      <c r="AHM316" s="948"/>
      <c r="AHN316" s="948"/>
      <c r="AHO316" s="948"/>
      <c r="AHP316" s="948"/>
      <c r="AHQ316" s="948"/>
      <c r="AHR316" s="948"/>
      <c r="AHS316" s="948"/>
      <c r="AHT316" s="948"/>
      <c r="AHU316" s="948"/>
      <c r="AHV316" s="948"/>
      <c r="AHW316" s="948"/>
      <c r="AHX316" s="948"/>
      <c r="AHY316" s="948"/>
      <c r="AHZ316" s="948"/>
      <c r="AIA316" s="948"/>
      <c r="AIB316" s="948"/>
      <c r="AIC316" s="948"/>
      <c r="AID316" s="948"/>
      <c r="AIE316" s="948"/>
      <c r="AIF316" s="948"/>
      <c r="AIG316" s="948"/>
      <c r="AIH316" s="948"/>
      <c r="AII316" s="948"/>
      <c r="AIJ316" s="948"/>
      <c r="AIK316" s="948"/>
      <c r="AIL316" s="948"/>
      <c r="AIM316" s="948"/>
      <c r="AIN316" s="948"/>
      <c r="AIO316" s="948"/>
      <c r="AIP316" s="948"/>
      <c r="AIQ316" s="948"/>
      <c r="AIR316" s="948"/>
      <c r="AIS316" s="948"/>
      <c r="AIT316" s="948"/>
      <c r="AIU316" s="948"/>
      <c r="AIV316" s="948"/>
      <c r="AIW316" s="948"/>
      <c r="AIX316" s="948"/>
      <c r="AIY316" s="948"/>
      <c r="AIZ316" s="948"/>
      <c r="AJA316" s="948"/>
      <c r="AJB316" s="948"/>
      <c r="AJC316" s="948"/>
      <c r="AJD316" s="948"/>
      <c r="AJE316" s="948"/>
      <c r="AJF316" s="948"/>
      <c r="AJG316" s="948"/>
      <c r="AJH316" s="948"/>
      <c r="AJI316" s="948"/>
      <c r="AJJ316" s="948"/>
      <c r="AJK316" s="948"/>
      <c r="AJL316" s="948"/>
      <c r="AJM316" s="948"/>
      <c r="AJN316" s="948"/>
      <c r="AJO316" s="948"/>
      <c r="AJP316" s="948"/>
      <c r="AJQ316" s="948"/>
      <c r="AJR316" s="948"/>
      <c r="AJS316" s="948"/>
      <c r="AJT316" s="948"/>
      <c r="AJU316" s="948"/>
      <c r="AJV316" s="948"/>
      <c r="AJW316" s="948"/>
      <c r="AJX316" s="948"/>
      <c r="AJY316" s="948"/>
      <c r="AJZ316" s="948"/>
      <c r="AKA316" s="948"/>
      <c r="AKB316" s="948"/>
      <c r="AKC316" s="948"/>
      <c r="AKD316" s="948"/>
      <c r="AKE316" s="948"/>
      <c r="AKF316" s="948"/>
      <c r="AKG316" s="948"/>
      <c r="AKH316" s="948"/>
      <c r="AKI316" s="948"/>
      <c r="AKJ316" s="948"/>
      <c r="AKK316" s="948"/>
      <c r="AKL316" s="948"/>
      <c r="AKM316" s="948"/>
      <c r="AKN316" s="948"/>
      <c r="AKO316" s="948"/>
      <c r="AKP316" s="948"/>
      <c r="AKQ316" s="948"/>
      <c r="AKR316" s="948"/>
      <c r="AKS316" s="948"/>
      <c r="AKT316" s="948"/>
      <c r="AKU316" s="948"/>
      <c r="AKV316" s="948"/>
      <c r="AKW316" s="948"/>
      <c r="AKX316" s="948"/>
      <c r="AKY316" s="948"/>
      <c r="AKZ316" s="948"/>
      <c r="ALA316" s="948"/>
      <c r="ALB316" s="948"/>
      <c r="ALC316" s="948"/>
      <c r="ALD316" s="948"/>
      <c r="ALE316" s="948"/>
      <c r="ALF316" s="948"/>
      <c r="ALG316" s="948"/>
      <c r="ALH316" s="948"/>
      <c r="ALI316" s="948"/>
      <c r="ALJ316" s="948"/>
      <c r="ALK316" s="948"/>
      <c r="ALL316" s="948"/>
      <c r="ALM316" s="948"/>
      <c r="ALN316" s="948"/>
      <c r="ALO316" s="948"/>
      <c r="ALP316" s="948"/>
      <c r="ALQ316" s="948"/>
      <c r="ALR316" s="948"/>
      <c r="ALS316" s="948"/>
      <c r="ALT316" s="948"/>
      <c r="ALU316" s="948"/>
      <c r="ALV316" s="948"/>
      <c r="ALW316" s="948"/>
      <c r="ALX316" s="948"/>
      <c r="ALY316" s="948"/>
      <c r="ALZ316" s="948"/>
      <c r="AMA316" s="948"/>
      <c r="AMB316" s="948"/>
      <c r="AMC316" s="948"/>
      <c r="AMD316" s="948"/>
      <c r="AME316" s="948"/>
      <c r="AMF316" s="948"/>
      <c r="AMG316" s="948"/>
      <c r="AMH316" s="948"/>
      <c r="AMI316" s="948"/>
      <c r="AMJ316" s="948"/>
      <c r="AMK316" s="948"/>
      <c r="AML316" s="948"/>
    </row>
    <row r="317" spans="1:1026" s="830" customFormat="1" ht="35.1" customHeight="1" outlineLevel="1">
      <c r="A317" s="844"/>
      <c r="B317" s="962" t="s">
        <v>817</v>
      </c>
      <c r="C317" s="963" t="s">
        <v>818</v>
      </c>
      <c r="D317" s="413" t="s">
        <v>819</v>
      </c>
      <c r="E317" s="414" t="s">
        <v>60</v>
      </c>
      <c r="F317" s="964">
        <f>Plan1!D268</f>
        <v>194</v>
      </c>
      <c r="G317" s="893">
        <f t="shared" ref="G317" si="90">K317</f>
        <v>34.35</v>
      </c>
      <c r="H317" s="883">
        <f t="shared" ref="H317" si="91">F317*G317</f>
        <v>6663.9000000000005</v>
      </c>
      <c r="I317" s="844"/>
      <c r="J317" s="993">
        <v>27.13</v>
      </c>
      <c r="K317" s="842">
        <f t="shared" ref="K317" si="92">ROUND(J317*(1+$H$14),2)</f>
        <v>34.35</v>
      </c>
    </row>
    <row r="318" spans="1:1026" s="830" customFormat="1" ht="35.1" customHeight="1" outlineLevel="1">
      <c r="A318" s="844"/>
      <c r="B318" s="962" t="s">
        <v>820</v>
      </c>
      <c r="C318" s="963" t="s">
        <v>821</v>
      </c>
      <c r="D318" s="437" t="s">
        <v>822</v>
      </c>
      <c r="E318" s="414" t="s">
        <v>60</v>
      </c>
      <c r="F318" s="964">
        <f>Plan1!D269</f>
        <v>35</v>
      </c>
      <c r="G318" s="893">
        <f t="shared" ref="G318:G343" si="93">K318</f>
        <v>30.77</v>
      </c>
      <c r="H318" s="883">
        <f t="shared" ref="H318:H343" si="94">F318*G318</f>
        <v>1076.95</v>
      </c>
      <c r="I318" s="844"/>
      <c r="J318" s="981">
        <v>24.3</v>
      </c>
      <c r="K318" s="842">
        <f t="shared" ref="K318:K343" si="95">ROUND(J318*(1+$H$14),2)</f>
        <v>30.77</v>
      </c>
    </row>
    <row r="319" spans="1:1026" s="830" customFormat="1" ht="35.1" customHeight="1" outlineLevel="1">
      <c r="A319" s="844"/>
      <c r="B319" s="962" t="s">
        <v>823</v>
      </c>
      <c r="C319" s="963" t="s">
        <v>824</v>
      </c>
      <c r="D319" s="437" t="s">
        <v>825</v>
      </c>
      <c r="E319" s="414" t="s">
        <v>60</v>
      </c>
      <c r="F319" s="964">
        <f>Plan1!D270</f>
        <v>12</v>
      </c>
      <c r="G319" s="893">
        <f t="shared" si="93"/>
        <v>49.93</v>
      </c>
      <c r="H319" s="883">
        <f t="shared" si="94"/>
        <v>599.16</v>
      </c>
      <c r="I319" s="844"/>
      <c r="J319" s="981">
        <v>39.44</v>
      </c>
      <c r="K319" s="842">
        <f t="shared" si="95"/>
        <v>49.93</v>
      </c>
    </row>
    <row r="320" spans="1:1026" s="830" customFormat="1" ht="35.1" customHeight="1" outlineLevel="1">
      <c r="A320" s="844"/>
      <c r="B320" s="962" t="s">
        <v>826</v>
      </c>
      <c r="C320" s="963" t="s">
        <v>827</v>
      </c>
      <c r="D320" s="437" t="s">
        <v>828</v>
      </c>
      <c r="E320" s="414" t="s">
        <v>60</v>
      </c>
      <c r="F320" s="964">
        <f>Plan1!D271</f>
        <v>12</v>
      </c>
      <c r="G320" s="893">
        <f t="shared" si="93"/>
        <v>36.450000000000003</v>
      </c>
      <c r="H320" s="883">
        <f t="shared" si="94"/>
        <v>437.40000000000003</v>
      </c>
      <c r="I320" s="844"/>
      <c r="J320" s="981">
        <v>28.79</v>
      </c>
      <c r="K320" s="842">
        <f t="shared" si="95"/>
        <v>36.450000000000003</v>
      </c>
    </row>
    <row r="321" spans="1:11" s="830" customFormat="1" ht="35.1" customHeight="1" outlineLevel="1">
      <c r="A321" s="844"/>
      <c r="B321" s="962" t="s">
        <v>829</v>
      </c>
      <c r="C321" s="963" t="s">
        <v>830</v>
      </c>
      <c r="D321" s="438" t="s">
        <v>831</v>
      </c>
      <c r="E321" s="414" t="s">
        <v>60</v>
      </c>
      <c r="F321" s="964">
        <f>Plan1!D272</f>
        <v>3</v>
      </c>
      <c r="G321" s="893">
        <f t="shared" si="93"/>
        <v>51.97</v>
      </c>
      <c r="H321" s="883">
        <f t="shared" si="94"/>
        <v>155.91</v>
      </c>
      <c r="I321" s="844"/>
      <c r="J321" s="981">
        <v>41.05</v>
      </c>
      <c r="K321" s="842">
        <f t="shared" si="95"/>
        <v>51.97</v>
      </c>
    </row>
    <row r="322" spans="1:11" s="830" customFormat="1" ht="35.1" customHeight="1" outlineLevel="1">
      <c r="A322" s="844"/>
      <c r="B322" s="962" t="s">
        <v>832</v>
      </c>
      <c r="C322" s="963" t="s">
        <v>833</v>
      </c>
      <c r="D322" s="438" t="s">
        <v>834</v>
      </c>
      <c r="E322" s="414" t="s">
        <v>60</v>
      </c>
      <c r="F322" s="964">
        <f>Plan1!D273</f>
        <v>58</v>
      </c>
      <c r="G322" s="893">
        <f t="shared" si="93"/>
        <v>32.35</v>
      </c>
      <c r="H322" s="883">
        <f t="shared" si="94"/>
        <v>1876.3000000000002</v>
      </c>
      <c r="I322" s="844"/>
      <c r="J322" s="981">
        <v>25.55</v>
      </c>
      <c r="K322" s="842">
        <f t="shared" si="95"/>
        <v>32.35</v>
      </c>
    </row>
    <row r="323" spans="1:11" s="830" customFormat="1" ht="35.1" customHeight="1" outlineLevel="1">
      <c r="A323" s="844"/>
      <c r="B323" s="962" t="s">
        <v>835</v>
      </c>
      <c r="C323" s="963" t="s">
        <v>836</v>
      </c>
      <c r="D323" s="438" t="s">
        <v>837</v>
      </c>
      <c r="E323" s="414" t="s">
        <v>60</v>
      </c>
      <c r="F323" s="964">
        <f>Plan1!D274</f>
        <v>16</v>
      </c>
      <c r="G323" s="893">
        <f t="shared" si="93"/>
        <v>35.369999999999997</v>
      </c>
      <c r="H323" s="883">
        <f t="shared" si="94"/>
        <v>565.91999999999996</v>
      </c>
      <c r="I323" s="844"/>
      <c r="J323" s="981">
        <v>27.94</v>
      </c>
      <c r="K323" s="842">
        <f t="shared" si="95"/>
        <v>35.369999999999997</v>
      </c>
    </row>
    <row r="324" spans="1:11" s="830" customFormat="1" ht="35.1" customHeight="1" outlineLevel="1">
      <c r="A324" s="844"/>
      <c r="B324" s="962" t="s">
        <v>838</v>
      </c>
      <c r="C324" s="963" t="s">
        <v>839</v>
      </c>
      <c r="D324" s="437" t="s">
        <v>840</v>
      </c>
      <c r="E324" s="414" t="s">
        <v>60</v>
      </c>
      <c r="F324" s="964">
        <f>Plan1!D275</f>
        <v>9</v>
      </c>
      <c r="G324" s="893">
        <f t="shared" si="93"/>
        <v>18.559999999999999</v>
      </c>
      <c r="H324" s="883">
        <f t="shared" si="94"/>
        <v>167.04</v>
      </c>
      <c r="I324" s="844"/>
      <c r="J324" s="981">
        <v>14.66</v>
      </c>
      <c r="K324" s="842">
        <f t="shared" si="95"/>
        <v>18.559999999999999</v>
      </c>
    </row>
    <row r="325" spans="1:11" s="830" customFormat="1" ht="35.1" customHeight="1" outlineLevel="1">
      <c r="A325" s="844"/>
      <c r="B325" s="962" t="s">
        <v>841</v>
      </c>
      <c r="C325" s="963" t="s">
        <v>842</v>
      </c>
      <c r="D325" s="437" t="s">
        <v>822</v>
      </c>
      <c r="E325" s="414" t="s">
        <v>60</v>
      </c>
      <c r="F325" s="964">
        <f>Plan1!D276</f>
        <v>42</v>
      </c>
      <c r="G325" s="893">
        <f t="shared" si="93"/>
        <v>30.77</v>
      </c>
      <c r="H325" s="883">
        <f t="shared" si="94"/>
        <v>1292.3399999999999</v>
      </c>
      <c r="I325" s="844"/>
      <c r="J325" s="981">
        <v>24.3</v>
      </c>
      <c r="K325" s="842">
        <f t="shared" si="95"/>
        <v>30.77</v>
      </c>
    </row>
    <row r="326" spans="1:11" s="830" customFormat="1" ht="35.1" customHeight="1" outlineLevel="1">
      <c r="A326" s="844"/>
      <c r="B326" s="962" t="s">
        <v>843</v>
      </c>
      <c r="C326" s="963" t="s">
        <v>824</v>
      </c>
      <c r="D326" s="437" t="s">
        <v>825</v>
      </c>
      <c r="E326" s="414" t="s">
        <v>60</v>
      </c>
      <c r="F326" s="964">
        <f>Plan1!D277</f>
        <v>2</v>
      </c>
      <c r="G326" s="893">
        <f t="shared" si="93"/>
        <v>49.93</v>
      </c>
      <c r="H326" s="883">
        <f t="shared" si="94"/>
        <v>99.86</v>
      </c>
      <c r="I326" s="844"/>
      <c r="J326" s="981">
        <v>39.44</v>
      </c>
      <c r="K326" s="842">
        <f t="shared" si="95"/>
        <v>49.93</v>
      </c>
    </row>
    <row r="327" spans="1:11" s="830" customFormat="1" ht="35.1" customHeight="1" outlineLevel="1">
      <c r="A327" s="844"/>
      <c r="B327" s="962" t="s">
        <v>844</v>
      </c>
      <c r="C327" s="963" t="s">
        <v>845</v>
      </c>
      <c r="D327" s="437" t="s">
        <v>846</v>
      </c>
      <c r="E327" s="414" t="s">
        <v>60</v>
      </c>
      <c r="F327" s="964">
        <f>Plan1!D278</f>
        <v>1</v>
      </c>
      <c r="G327" s="893">
        <f t="shared" si="93"/>
        <v>69.099999999999994</v>
      </c>
      <c r="H327" s="883">
        <f t="shared" si="94"/>
        <v>69.099999999999994</v>
      </c>
      <c r="I327" s="844"/>
      <c r="J327" s="981">
        <v>54.58</v>
      </c>
      <c r="K327" s="842">
        <f t="shared" si="95"/>
        <v>69.099999999999994</v>
      </c>
    </row>
    <row r="328" spans="1:11" s="830" customFormat="1" ht="35.1" customHeight="1" outlineLevel="1">
      <c r="A328" s="844"/>
      <c r="B328" s="962" t="s">
        <v>847</v>
      </c>
      <c r="C328" s="963" t="s">
        <v>827</v>
      </c>
      <c r="D328" s="437" t="s">
        <v>848</v>
      </c>
      <c r="E328" s="414" t="s">
        <v>60</v>
      </c>
      <c r="F328" s="964">
        <f>Plan1!D279</f>
        <v>10</v>
      </c>
      <c r="G328" s="893">
        <f t="shared" si="93"/>
        <v>36.450000000000003</v>
      </c>
      <c r="H328" s="883">
        <f t="shared" si="94"/>
        <v>364.5</v>
      </c>
      <c r="I328" s="844"/>
      <c r="J328" s="981">
        <v>28.79</v>
      </c>
      <c r="K328" s="842">
        <f t="shared" si="95"/>
        <v>36.450000000000003</v>
      </c>
    </row>
    <row r="329" spans="1:11" s="830" customFormat="1" ht="35.1" customHeight="1" outlineLevel="1">
      <c r="A329" s="844"/>
      <c r="B329" s="962" t="s">
        <v>849</v>
      </c>
      <c r="C329" s="963" t="s">
        <v>850</v>
      </c>
      <c r="D329" s="413" t="s">
        <v>851</v>
      </c>
      <c r="E329" s="414" t="s">
        <v>60</v>
      </c>
      <c r="F329" s="964">
        <f>Plan1!D280</f>
        <v>9</v>
      </c>
      <c r="G329" s="893">
        <f t="shared" si="93"/>
        <v>29.37</v>
      </c>
      <c r="H329" s="883">
        <f t="shared" si="94"/>
        <v>264.33</v>
      </c>
      <c r="I329" s="844"/>
      <c r="J329" s="993">
        <v>23.2</v>
      </c>
      <c r="K329" s="842">
        <f t="shared" si="95"/>
        <v>29.37</v>
      </c>
    </row>
    <row r="330" spans="1:11" s="833" customFormat="1" ht="35.1" customHeight="1" outlineLevel="1">
      <c r="A330" s="939"/>
      <c r="B330" s="940" t="s">
        <v>852</v>
      </c>
      <c r="C330" s="949"/>
      <c r="D330" s="459" t="s">
        <v>853</v>
      </c>
      <c r="E330" s="460"/>
      <c r="F330" s="998"/>
      <c r="G330" s="950"/>
      <c r="H330" s="945"/>
      <c r="I330" s="939"/>
      <c r="J330" s="946"/>
      <c r="K330" s="947"/>
    </row>
    <row r="331" spans="1:11" s="830" customFormat="1" ht="53.25" customHeight="1" outlineLevel="1">
      <c r="A331" s="844"/>
      <c r="B331" s="962" t="s">
        <v>854</v>
      </c>
      <c r="C331" s="891" t="s">
        <v>855</v>
      </c>
      <c r="D331" s="450" t="s">
        <v>856</v>
      </c>
      <c r="E331" s="444" t="s">
        <v>60</v>
      </c>
      <c r="F331" s="987">
        <f>Plan1!D282</f>
        <v>6</v>
      </c>
      <c r="G331" s="893">
        <f t="shared" ref="G331:G333" si="96">K331</f>
        <v>223.57</v>
      </c>
      <c r="H331" s="883">
        <f t="shared" ref="H331:H333" si="97">F331*G331</f>
        <v>1341.42</v>
      </c>
      <c r="I331" s="844"/>
      <c r="J331" s="841">
        <v>176.58</v>
      </c>
      <c r="K331" s="842">
        <f t="shared" ref="K331:K333" si="98">ROUND(J331*(1+$H$14),2)</f>
        <v>223.57</v>
      </c>
    </row>
    <row r="332" spans="1:11" s="830" customFormat="1" ht="35.1" customHeight="1" outlineLevel="1">
      <c r="A332" s="844"/>
      <c r="B332" s="962" t="s">
        <v>857</v>
      </c>
      <c r="C332" s="891" t="s">
        <v>858</v>
      </c>
      <c r="D332" s="450" t="s">
        <v>859</v>
      </c>
      <c r="E332" s="444" t="s">
        <v>60</v>
      </c>
      <c r="F332" s="987">
        <f>Plan1!D283</f>
        <v>80</v>
      </c>
      <c r="G332" s="893">
        <f t="shared" si="96"/>
        <v>8.1999999999999993</v>
      </c>
      <c r="H332" s="883">
        <f t="shared" si="97"/>
        <v>656</v>
      </c>
      <c r="I332" s="844"/>
      <c r="J332" s="841">
        <v>6.48</v>
      </c>
      <c r="K332" s="842">
        <f t="shared" si="98"/>
        <v>8.1999999999999993</v>
      </c>
    </row>
    <row r="333" spans="1:11" s="830" customFormat="1" ht="35.1" customHeight="1" outlineLevel="1">
      <c r="A333" s="844"/>
      <c r="B333" s="962" t="s">
        <v>860</v>
      </c>
      <c r="C333" s="886" t="s">
        <v>861</v>
      </c>
      <c r="D333" s="451" t="s">
        <v>862</v>
      </c>
      <c r="E333" s="449" t="s">
        <v>60</v>
      </c>
      <c r="F333" s="992">
        <f>Plan1!D284</f>
        <v>15</v>
      </c>
      <c r="G333" s="893">
        <f t="shared" si="96"/>
        <v>6.74</v>
      </c>
      <c r="H333" s="883">
        <f t="shared" si="97"/>
        <v>101.10000000000001</v>
      </c>
      <c r="I333" s="844"/>
      <c r="J333" s="915">
        <v>5.32</v>
      </c>
      <c r="K333" s="842">
        <f t="shared" si="98"/>
        <v>6.74</v>
      </c>
    </row>
    <row r="334" spans="1:11" s="830" customFormat="1" ht="35.1" customHeight="1" outlineLevel="1">
      <c r="A334" s="844"/>
      <c r="B334" s="962" t="s">
        <v>863</v>
      </c>
      <c r="C334" s="963" t="s">
        <v>864</v>
      </c>
      <c r="D334" s="437" t="s">
        <v>865</v>
      </c>
      <c r="E334" s="449" t="s">
        <v>60</v>
      </c>
      <c r="F334" s="992">
        <f>Plan1!D285</f>
        <v>1</v>
      </c>
      <c r="G334" s="893">
        <f t="shared" si="93"/>
        <v>873.82</v>
      </c>
      <c r="H334" s="883">
        <f t="shared" si="94"/>
        <v>873.82</v>
      </c>
      <c r="I334" s="844"/>
      <c r="J334" s="981">
        <v>690.17</v>
      </c>
      <c r="K334" s="842">
        <f t="shared" si="95"/>
        <v>873.82</v>
      </c>
    </row>
    <row r="335" spans="1:11" s="830" customFormat="1" ht="35.1" customHeight="1" outlineLevel="1">
      <c r="A335" s="844"/>
      <c r="B335" s="962" t="s">
        <v>866</v>
      </c>
      <c r="C335" s="963" t="s">
        <v>867</v>
      </c>
      <c r="D335" s="423" t="s">
        <v>868</v>
      </c>
      <c r="E335" s="449" t="s">
        <v>60</v>
      </c>
      <c r="F335" s="992">
        <f>Plan1!D286</f>
        <v>1</v>
      </c>
      <c r="G335" s="893">
        <f t="shared" si="93"/>
        <v>759.69</v>
      </c>
      <c r="H335" s="883">
        <f t="shared" si="94"/>
        <v>759.69</v>
      </c>
      <c r="I335" s="844"/>
      <c r="J335" s="981">
        <v>600.02</v>
      </c>
      <c r="K335" s="842">
        <f t="shared" si="95"/>
        <v>759.69</v>
      </c>
    </row>
    <row r="336" spans="1:11" s="830" customFormat="1" ht="35.1" customHeight="1" outlineLevel="1">
      <c r="A336" s="844"/>
      <c r="B336" s="962" t="s">
        <v>869</v>
      </c>
      <c r="C336" s="969" t="s">
        <v>870</v>
      </c>
      <c r="D336" s="438" t="s">
        <v>871</v>
      </c>
      <c r="E336" s="449" t="s">
        <v>60</v>
      </c>
      <c r="F336" s="992">
        <f>Plan1!D287</f>
        <v>1</v>
      </c>
      <c r="G336" s="893">
        <f t="shared" si="93"/>
        <v>19.11</v>
      </c>
      <c r="H336" s="883">
        <f t="shared" si="94"/>
        <v>19.11</v>
      </c>
      <c r="I336" s="844"/>
      <c r="J336" s="981">
        <v>15.09</v>
      </c>
      <c r="K336" s="842">
        <f t="shared" si="95"/>
        <v>19.11</v>
      </c>
    </row>
    <row r="337" spans="1:11" s="830" customFormat="1" ht="35.1" customHeight="1" outlineLevel="1">
      <c r="A337" s="844"/>
      <c r="B337" s="962" t="s">
        <v>872</v>
      </c>
      <c r="C337" s="969" t="s">
        <v>873</v>
      </c>
      <c r="D337" s="438" t="s">
        <v>874</v>
      </c>
      <c r="E337" s="449" t="s">
        <v>60</v>
      </c>
      <c r="F337" s="992">
        <f>Plan1!D288</f>
        <v>10</v>
      </c>
      <c r="G337" s="893">
        <f t="shared" si="93"/>
        <v>21.26</v>
      </c>
      <c r="H337" s="883">
        <f t="shared" si="94"/>
        <v>212.60000000000002</v>
      </c>
      <c r="I337" s="844"/>
      <c r="J337" s="981">
        <v>16.79</v>
      </c>
      <c r="K337" s="842">
        <f t="shared" si="95"/>
        <v>21.26</v>
      </c>
    </row>
    <row r="338" spans="1:11" s="830" customFormat="1" ht="35.1" customHeight="1" outlineLevel="1">
      <c r="A338" s="844"/>
      <c r="B338" s="962" t="s">
        <v>875</v>
      </c>
      <c r="C338" s="1008" t="s">
        <v>876</v>
      </c>
      <c r="D338" s="466" t="s">
        <v>877</v>
      </c>
      <c r="E338" s="449" t="s">
        <v>60</v>
      </c>
      <c r="F338" s="992">
        <f>Plan1!D289</f>
        <v>2</v>
      </c>
      <c r="G338" s="893">
        <f t="shared" si="93"/>
        <v>21.26</v>
      </c>
      <c r="H338" s="883">
        <f t="shared" si="94"/>
        <v>42.52</v>
      </c>
      <c r="I338" s="844"/>
      <c r="J338" s="981">
        <v>16.79</v>
      </c>
      <c r="K338" s="842">
        <f t="shared" si="95"/>
        <v>21.26</v>
      </c>
    </row>
    <row r="339" spans="1:11" s="830" customFormat="1" ht="35.1" customHeight="1" outlineLevel="1">
      <c r="A339" s="844"/>
      <c r="B339" s="962" t="s">
        <v>878</v>
      </c>
      <c r="C339" s="969" t="s">
        <v>879</v>
      </c>
      <c r="D339" s="455" t="s">
        <v>880</v>
      </c>
      <c r="E339" s="449" t="s">
        <v>60</v>
      </c>
      <c r="F339" s="992">
        <f>Plan1!D290</f>
        <v>7</v>
      </c>
      <c r="G339" s="893">
        <f t="shared" si="93"/>
        <v>28.22</v>
      </c>
      <c r="H339" s="883">
        <f t="shared" si="94"/>
        <v>197.54</v>
      </c>
      <c r="I339" s="844"/>
      <c r="J339" s="981">
        <v>22.29</v>
      </c>
      <c r="K339" s="842">
        <f t="shared" si="95"/>
        <v>28.22</v>
      </c>
    </row>
    <row r="340" spans="1:11" s="830" customFormat="1" ht="35.1" customHeight="1" outlineLevel="1">
      <c r="A340" s="844"/>
      <c r="B340" s="962" t="s">
        <v>881</v>
      </c>
      <c r="C340" s="969" t="s">
        <v>882</v>
      </c>
      <c r="D340" s="438" t="s">
        <v>883</v>
      </c>
      <c r="E340" s="449" t="s">
        <v>60</v>
      </c>
      <c r="F340" s="992">
        <f>Plan1!D291</f>
        <v>5</v>
      </c>
      <c r="G340" s="893">
        <f t="shared" si="93"/>
        <v>55.99</v>
      </c>
      <c r="H340" s="883">
        <f t="shared" si="94"/>
        <v>279.95</v>
      </c>
      <c r="I340" s="844"/>
      <c r="J340" s="981">
        <v>44.22</v>
      </c>
      <c r="K340" s="842">
        <f t="shared" si="95"/>
        <v>55.99</v>
      </c>
    </row>
    <row r="341" spans="1:11" s="830" customFormat="1" ht="35.1" customHeight="1" outlineLevel="1">
      <c r="A341" s="844"/>
      <c r="B341" s="962" t="s">
        <v>884</v>
      </c>
      <c r="C341" s="420" t="s">
        <v>885</v>
      </c>
      <c r="D341" s="438" t="s">
        <v>886</v>
      </c>
      <c r="E341" s="449" t="s">
        <v>60</v>
      </c>
      <c r="F341" s="992">
        <f>Plan1!D292</f>
        <v>7</v>
      </c>
      <c r="G341" s="893">
        <f t="shared" si="93"/>
        <v>55.99</v>
      </c>
      <c r="H341" s="883">
        <f t="shared" si="94"/>
        <v>391.93</v>
      </c>
      <c r="I341" s="844"/>
      <c r="J341" s="981">
        <v>44.22</v>
      </c>
      <c r="K341" s="842">
        <f t="shared" si="95"/>
        <v>55.99</v>
      </c>
    </row>
    <row r="342" spans="1:11" s="830" customFormat="1" ht="35.1" customHeight="1" outlineLevel="1">
      <c r="A342" s="844"/>
      <c r="B342" s="962" t="s">
        <v>887</v>
      </c>
      <c r="C342" s="420" t="s">
        <v>888</v>
      </c>
      <c r="D342" s="455" t="s">
        <v>889</v>
      </c>
      <c r="E342" s="449" t="s">
        <v>60</v>
      </c>
      <c r="F342" s="992">
        <f>Plan1!D293</f>
        <v>2</v>
      </c>
      <c r="G342" s="893">
        <f t="shared" si="93"/>
        <v>316.60000000000002</v>
      </c>
      <c r="H342" s="883">
        <f t="shared" si="94"/>
        <v>633.20000000000005</v>
      </c>
      <c r="I342" s="844"/>
      <c r="J342" s="981">
        <v>250.06</v>
      </c>
      <c r="K342" s="842">
        <f t="shared" si="95"/>
        <v>316.60000000000002</v>
      </c>
    </row>
    <row r="343" spans="1:11" s="830" customFormat="1" ht="35.1" customHeight="1" outlineLevel="1">
      <c r="A343" s="844"/>
      <c r="B343" s="962" t="s">
        <v>890</v>
      </c>
      <c r="C343" s="420" t="s">
        <v>891</v>
      </c>
      <c r="D343" s="455" t="s">
        <v>892</v>
      </c>
      <c r="E343" s="449" t="s">
        <v>60</v>
      </c>
      <c r="F343" s="992">
        <f>Plan1!D294</f>
        <v>1</v>
      </c>
      <c r="G343" s="893">
        <f t="shared" si="93"/>
        <v>963.03</v>
      </c>
      <c r="H343" s="883">
        <f t="shared" si="94"/>
        <v>963.03</v>
      </c>
      <c r="I343" s="844"/>
      <c r="J343" s="993">
        <v>760.63</v>
      </c>
      <c r="K343" s="842">
        <f t="shared" si="95"/>
        <v>963.03</v>
      </c>
    </row>
    <row r="344" spans="1:11" s="830" customFormat="1" ht="24.95" customHeight="1">
      <c r="A344" s="844"/>
      <c r="B344" s="988">
        <v>20</v>
      </c>
      <c r="C344" s="988"/>
      <c r="D344" s="470" t="s">
        <v>893</v>
      </c>
      <c r="E344" s="471"/>
      <c r="F344" s="1009"/>
      <c r="G344" s="1010"/>
      <c r="H344" s="1011"/>
      <c r="I344" s="844"/>
      <c r="J344" s="841"/>
      <c r="K344" s="842"/>
    </row>
    <row r="345" spans="1:11" s="830" customFormat="1" ht="64.5" customHeight="1" outlineLevel="1">
      <c r="A345" s="844"/>
      <c r="B345" s="962" t="s">
        <v>894</v>
      </c>
      <c r="C345" s="969" t="s">
        <v>895</v>
      </c>
      <c r="D345" s="437" t="s">
        <v>896</v>
      </c>
      <c r="E345" s="414" t="s">
        <v>38</v>
      </c>
      <c r="F345" s="964">
        <f>Plan1!D317</f>
        <v>50</v>
      </c>
      <c r="G345" s="1012">
        <f>K345</f>
        <v>407.19</v>
      </c>
      <c r="H345" s="1013">
        <f>F345*G345</f>
        <v>20359.5</v>
      </c>
      <c r="I345" s="844"/>
      <c r="J345" s="993">
        <v>321.61</v>
      </c>
      <c r="K345" s="842">
        <f>ROUND(J345*(1+$H$14),2)</f>
        <v>407.19</v>
      </c>
    </row>
    <row r="346" spans="1:11" s="830" customFormat="1" ht="53.25" customHeight="1" outlineLevel="1">
      <c r="A346" s="844"/>
      <c r="B346" s="962" t="s">
        <v>897</v>
      </c>
      <c r="C346" s="969" t="s">
        <v>898</v>
      </c>
      <c r="D346" s="437" t="s">
        <v>899</v>
      </c>
      <c r="E346" s="414" t="s">
        <v>38</v>
      </c>
      <c r="F346" s="964">
        <f>Plan1!D318</f>
        <v>130</v>
      </c>
      <c r="G346" s="1012">
        <f>K346</f>
        <v>333.48</v>
      </c>
      <c r="H346" s="1013">
        <f>F346*G346</f>
        <v>43352.4</v>
      </c>
      <c r="I346" s="844"/>
      <c r="J346" s="981">
        <v>263.39</v>
      </c>
      <c r="K346" s="842">
        <f>ROUND(J346*(1+$H$14),2)</f>
        <v>333.48</v>
      </c>
    </row>
    <row r="347" spans="1:11" s="830" customFormat="1" ht="51.75" customHeight="1" outlineLevel="1">
      <c r="A347" s="844"/>
      <c r="B347" s="962" t="s">
        <v>900</v>
      </c>
      <c r="C347" s="969" t="s">
        <v>901</v>
      </c>
      <c r="D347" s="437" t="s">
        <v>902</v>
      </c>
      <c r="E347" s="414" t="s">
        <v>38</v>
      </c>
      <c r="F347" s="964">
        <f>Plan1!D319</f>
        <v>25</v>
      </c>
      <c r="G347" s="893">
        <f>K347</f>
        <v>270.29000000000002</v>
      </c>
      <c r="H347" s="883">
        <f>F347*G347</f>
        <v>6757.2500000000009</v>
      </c>
      <c r="I347" s="844"/>
      <c r="J347" s="981">
        <v>213.48</v>
      </c>
      <c r="K347" s="842">
        <f>ROUND(J347*(1+$H$14),2)</f>
        <v>270.29000000000002</v>
      </c>
    </row>
    <row r="348" spans="1:11" s="830" customFormat="1" ht="45" outlineLevel="1">
      <c r="A348" s="844"/>
      <c r="B348" s="962" t="s">
        <v>903</v>
      </c>
      <c r="C348" s="969" t="s">
        <v>904</v>
      </c>
      <c r="D348" s="430" t="s">
        <v>905</v>
      </c>
      <c r="E348" s="414" t="s">
        <v>38</v>
      </c>
      <c r="F348" s="964">
        <f>Plan1!D320</f>
        <v>35</v>
      </c>
      <c r="G348" s="893">
        <f t="shared" ref="G348:G361" si="99">K348</f>
        <v>252.73</v>
      </c>
      <c r="H348" s="883">
        <f t="shared" ref="H348:H361" si="100">F348*G348</f>
        <v>8845.5499999999993</v>
      </c>
      <c r="I348" s="844"/>
      <c r="J348" s="981">
        <v>199.61</v>
      </c>
      <c r="K348" s="842">
        <f t="shared" ref="K348:K359" si="101">ROUND(J348*(1+$H$14),2)</f>
        <v>252.73</v>
      </c>
    </row>
    <row r="349" spans="1:11" s="830" customFormat="1" ht="43.5" customHeight="1" outlineLevel="1">
      <c r="A349" s="844"/>
      <c r="B349" s="962" t="s">
        <v>906</v>
      </c>
      <c r="C349" s="1008" t="s">
        <v>907</v>
      </c>
      <c r="D349" s="462" t="s">
        <v>908</v>
      </c>
      <c r="E349" s="439" t="s">
        <v>60</v>
      </c>
      <c r="F349" s="985">
        <f>Plan1!D321</f>
        <v>3</v>
      </c>
      <c r="G349" s="893">
        <f t="shared" si="99"/>
        <v>284.58</v>
      </c>
      <c r="H349" s="883">
        <f t="shared" si="100"/>
        <v>853.74</v>
      </c>
      <c r="I349" s="844"/>
      <c r="J349" s="993">
        <v>224.77</v>
      </c>
      <c r="K349" s="842">
        <f t="shared" si="101"/>
        <v>284.58</v>
      </c>
    </row>
    <row r="350" spans="1:11" s="830" customFormat="1" ht="35.25" customHeight="1" outlineLevel="1">
      <c r="A350" s="844"/>
      <c r="B350" s="962" t="s">
        <v>909</v>
      </c>
      <c r="C350" s="963" t="s">
        <v>910</v>
      </c>
      <c r="D350" s="430" t="s">
        <v>911</v>
      </c>
      <c r="E350" s="414" t="s">
        <v>38</v>
      </c>
      <c r="F350" s="964">
        <f>Plan1!D322</f>
        <v>14</v>
      </c>
      <c r="G350" s="893">
        <f t="shared" si="99"/>
        <v>108.24</v>
      </c>
      <c r="H350" s="883">
        <f t="shared" si="100"/>
        <v>1515.36</v>
      </c>
      <c r="I350" s="844"/>
      <c r="J350" s="981">
        <v>85.49</v>
      </c>
      <c r="K350" s="842">
        <f t="shared" si="101"/>
        <v>108.24</v>
      </c>
    </row>
    <row r="351" spans="1:11" s="830" customFormat="1" ht="24.95" customHeight="1" outlineLevel="1">
      <c r="A351" s="844"/>
      <c r="B351" s="962" t="s">
        <v>912</v>
      </c>
      <c r="C351" s="963" t="s">
        <v>913</v>
      </c>
      <c r="D351" s="456" t="s">
        <v>914</v>
      </c>
      <c r="E351" s="414" t="s">
        <v>60</v>
      </c>
      <c r="F351" s="964">
        <f>Plan1!D323</f>
        <v>2</v>
      </c>
      <c r="G351" s="893">
        <f t="shared" si="99"/>
        <v>60.6</v>
      </c>
      <c r="H351" s="883">
        <f t="shared" si="100"/>
        <v>121.2</v>
      </c>
      <c r="I351" s="844"/>
      <c r="J351" s="981">
        <f>composições!F381</f>
        <v>47.861200000000004</v>
      </c>
      <c r="K351" s="842">
        <f t="shared" si="101"/>
        <v>60.6</v>
      </c>
    </row>
    <row r="352" spans="1:11" s="830" customFormat="1" ht="24.95" customHeight="1" outlineLevel="1">
      <c r="A352" s="844"/>
      <c r="B352" s="962" t="s">
        <v>915</v>
      </c>
      <c r="C352" s="963" t="s">
        <v>916</v>
      </c>
      <c r="D352" s="438" t="s">
        <v>917</v>
      </c>
      <c r="E352" s="414" t="s">
        <v>60</v>
      </c>
      <c r="F352" s="964">
        <f>Plan1!D324</f>
        <v>2</v>
      </c>
      <c r="G352" s="893">
        <f t="shared" ref="G352:G353" si="102">K352</f>
        <v>51.11</v>
      </c>
      <c r="H352" s="883">
        <f t="shared" ref="H352:H353" si="103">F352*G352</f>
        <v>102.22</v>
      </c>
      <c r="I352" s="844"/>
      <c r="J352" s="981">
        <f>composições!F989</f>
        <v>40.371200000000002</v>
      </c>
      <c r="K352" s="842">
        <f t="shared" ref="K352:K353" si="104">ROUND(J352*(1+$H$14),2)</f>
        <v>51.11</v>
      </c>
    </row>
    <row r="353" spans="1:11" s="830" customFormat="1" ht="24.95" customHeight="1" outlineLevel="1">
      <c r="A353" s="844"/>
      <c r="B353" s="962" t="s">
        <v>918</v>
      </c>
      <c r="C353" s="963" t="s">
        <v>919</v>
      </c>
      <c r="D353" s="438" t="s">
        <v>920</v>
      </c>
      <c r="E353" s="414" t="s">
        <v>691</v>
      </c>
      <c r="F353" s="964">
        <f>Plan1!D325</f>
        <v>1</v>
      </c>
      <c r="G353" s="893">
        <f t="shared" si="102"/>
        <v>80.06</v>
      </c>
      <c r="H353" s="883">
        <f t="shared" si="103"/>
        <v>80.06</v>
      </c>
      <c r="I353" s="844"/>
      <c r="J353" s="981">
        <f>composições!F1022</f>
        <v>63.231200000000001</v>
      </c>
      <c r="K353" s="842">
        <f t="shared" si="104"/>
        <v>80.06</v>
      </c>
    </row>
    <row r="354" spans="1:11" s="830" customFormat="1" ht="24.95" customHeight="1" outlineLevel="1">
      <c r="A354" s="844"/>
      <c r="B354" s="962" t="s">
        <v>921</v>
      </c>
      <c r="C354" s="963" t="s">
        <v>922</v>
      </c>
      <c r="D354" s="438" t="s">
        <v>923</v>
      </c>
      <c r="E354" s="414" t="s">
        <v>691</v>
      </c>
      <c r="F354" s="964">
        <f>Plan1!D326</f>
        <v>3</v>
      </c>
      <c r="G354" s="893">
        <f t="shared" si="99"/>
        <v>107.84</v>
      </c>
      <c r="H354" s="883">
        <f t="shared" si="100"/>
        <v>323.52</v>
      </c>
      <c r="I354" s="844"/>
      <c r="J354" s="981">
        <f>composições!F450</f>
        <v>85.171999999999997</v>
      </c>
      <c r="K354" s="842">
        <f t="shared" si="101"/>
        <v>107.84</v>
      </c>
    </row>
    <row r="355" spans="1:11" s="830" customFormat="1" ht="24.95" customHeight="1" outlineLevel="1">
      <c r="A355" s="844"/>
      <c r="B355" s="962" t="s">
        <v>924</v>
      </c>
      <c r="C355" s="963" t="s">
        <v>925</v>
      </c>
      <c r="D355" s="438" t="s">
        <v>926</v>
      </c>
      <c r="E355" s="414" t="s">
        <v>691</v>
      </c>
      <c r="F355" s="964">
        <f>Plan1!D327</f>
        <v>8</v>
      </c>
      <c r="G355" s="893">
        <f t="shared" si="99"/>
        <v>82.51</v>
      </c>
      <c r="H355" s="883">
        <f t="shared" si="100"/>
        <v>660.08</v>
      </c>
      <c r="I355" s="844"/>
      <c r="J355" s="981">
        <f>composições!F486</f>
        <v>65.171999999999997</v>
      </c>
      <c r="K355" s="842">
        <f t="shared" si="101"/>
        <v>82.51</v>
      </c>
    </row>
    <row r="356" spans="1:11" s="830" customFormat="1" ht="24.95" customHeight="1" outlineLevel="1">
      <c r="A356" s="844"/>
      <c r="B356" s="962" t="s">
        <v>927</v>
      </c>
      <c r="C356" s="963" t="s">
        <v>928</v>
      </c>
      <c r="D356" s="438" t="s">
        <v>929</v>
      </c>
      <c r="E356" s="414" t="s">
        <v>691</v>
      </c>
      <c r="F356" s="964">
        <f>Plan1!D328</f>
        <v>2</v>
      </c>
      <c r="G356" s="893">
        <f t="shared" si="99"/>
        <v>79.98</v>
      </c>
      <c r="H356" s="883">
        <f t="shared" si="100"/>
        <v>159.96</v>
      </c>
      <c r="I356" s="844"/>
      <c r="J356" s="981">
        <f>composições!F522</f>
        <v>63.171999999999997</v>
      </c>
      <c r="K356" s="842">
        <f t="shared" si="101"/>
        <v>79.98</v>
      </c>
    </row>
    <row r="357" spans="1:11" s="830" customFormat="1" ht="24.95" customHeight="1" outlineLevel="1">
      <c r="A357" s="844"/>
      <c r="B357" s="962" t="s">
        <v>930</v>
      </c>
      <c r="C357" s="414" t="s">
        <v>931</v>
      </c>
      <c r="D357" s="438" t="s">
        <v>932</v>
      </c>
      <c r="E357" s="414" t="s">
        <v>691</v>
      </c>
      <c r="F357" s="964">
        <f>Plan1!D329</f>
        <v>3</v>
      </c>
      <c r="G357" s="893">
        <f t="shared" si="99"/>
        <v>44.31</v>
      </c>
      <c r="H357" s="883">
        <f t="shared" si="100"/>
        <v>132.93</v>
      </c>
      <c r="I357" s="844"/>
      <c r="J357" s="981">
        <f>composições!J546</f>
        <v>35</v>
      </c>
      <c r="K357" s="842">
        <f t="shared" si="101"/>
        <v>44.31</v>
      </c>
    </row>
    <row r="358" spans="1:11" s="830" customFormat="1" ht="24.95" customHeight="1" outlineLevel="1">
      <c r="A358" s="844"/>
      <c r="B358" s="962" t="s">
        <v>933</v>
      </c>
      <c r="C358" s="420" t="s">
        <v>934</v>
      </c>
      <c r="D358" s="472" t="s">
        <v>935</v>
      </c>
      <c r="E358" s="414" t="s">
        <v>691</v>
      </c>
      <c r="F358" s="964">
        <f>Plan1!D330</f>
        <v>30</v>
      </c>
      <c r="G358" s="893">
        <f t="shared" si="99"/>
        <v>43.31</v>
      </c>
      <c r="H358" s="883">
        <f t="shared" si="100"/>
        <v>1299.3000000000002</v>
      </c>
      <c r="I358" s="844"/>
      <c r="J358" s="981">
        <v>34.21</v>
      </c>
      <c r="K358" s="842">
        <f t="shared" si="101"/>
        <v>43.31</v>
      </c>
    </row>
    <row r="359" spans="1:11" s="830" customFormat="1" ht="30" outlineLevel="1">
      <c r="A359" s="844"/>
      <c r="B359" s="962" t="s">
        <v>936</v>
      </c>
      <c r="C359" s="414" t="s">
        <v>937</v>
      </c>
      <c r="D359" s="438" t="s">
        <v>938</v>
      </c>
      <c r="E359" s="414" t="s">
        <v>691</v>
      </c>
      <c r="F359" s="964">
        <f>Plan1!D331</f>
        <v>16</v>
      </c>
      <c r="G359" s="893">
        <f t="shared" si="99"/>
        <v>20.99</v>
      </c>
      <c r="H359" s="883">
        <f t="shared" si="100"/>
        <v>335.84</v>
      </c>
      <c r="I359" s="844"/>
      <c r="J359" s="981">
        <f>composições!F594</f>
        <v>16.576000000000001</v>
      </c>
      <c r="K359" s="842">
        <f t="shared" si="101"/>
        <v>20.99</v>
      </c>
    </row>
    <row r="360" spans="1:11" s="830" customFormat="1" ht="24.95" customHeight="1" outlineLevel="1">
      <c r="A360" s="844"/>
      <c r="B360" s="962" t="s">
        <v>939</v>
      </c>
      <c r="C360" s="420" t="s">
        <v>940</v>
      </c>
      <c r="D360" s="438" t="s">
        <v>941</v>
      </c>
      <c r="E360" s="414" t="s">
        <v>691</v>
      </c>
      <c r="F360" s="964">
        <f>Plan1!D332</f>
        <v>16</v>
      </c>
      <c r="G360" s="893">
        <f t="shared" si="99"/>
        <v>54.16</v>
      </c>
      <c r="H360" s="883">
        <f t="shared" si="100"/>
        <v>866.56</v>
      </c>
      <c r="I360" s="844"/>
      <c r="J360" s="993">
        <v>42.78</v>
      </c>
      <c r="K360" s="842">
        <f t="shared" ref="K360:K361" si="105">ROUND(J360*(1+$H$14),2)</f>
        <v>54.16</v>
      </c>
    </row>
    <row r="361" spans="1:11" s="830" customFormat="1" ht="24.95" customHeight="1" outlineLevel="1">
      <c r="A361" s="844"/>
      <c r="B361" s="962" t="s">
        <v>942</v>
      </c>
      <c r="C361" s="420" t="s">
        <v>943</v>
      </c>
      <c r="D361" s="438" t="s">
        <v>944</v>
      </c>
      <c r="E361" s="414" t="s">
        <v>691</v>
      </c>
      <c r="F361" s="964">
        <f>Plan1!D333</f>
        <v>1</v>
      </c>
      <c r="G361" s="893">
        <f t="shared" si="99"/>
        <v>42</v>
      </c>
      <c r="H361" s="883">
        <f t="shared" si="100"/>
        <v>42</v>
      </c>
      <c r="I361" s="844"/>
      <c r="J361" s="993">
        <f>composições!F414</f>
        <v>33.173000000000002</v>
      </c>
      <c r="K361" s="842">
        <f t="shared" si="105"/>
        <v>42</v>
      </c>
    </row>
    <row r="362" spans="1:11" s="830" customFormat="1" ht="24.95" customHeight="1">
      <c r="A362" s="844"/>
      <c r="B362" s="988">
        <v>21</v>
      </c>
      <c r="C362" s="988"/>
      <c r="D362" s="473" t="s">
        <v>945</v>
      </c>
      <c r="E362" s="471"/>
      <c r="F362" s="1009"/>
      <c r="G362" s="1010"/>
      <c r="H362" s="1011"/>
      <c r="I362" s="844"/>
      <c r="J362" s="841"/>
      <c r="K362" s="842"/>
    </row>
    <row r="363" spans="1:11" s="830" customFormat="1" ht="24.95" customHeight="1">
      <c r="A363" s="844"/>
      <c r="B363" s="988" t="s">
        <v>946</v>
      </c>
      <c r="C363" s="988"/>
      <c r="D363" s="473" t="s">
        <v>947</v>
      </c>
      <c r="E363" s="471"/>
      <c r="F363" s="1009"/>
      <c r="G363" s="1010"/>
      <c r="H363" s="1011"/>
      <c r="I363" s="844"/>
      <c r="J363" s="841"/>
      <c r="K363" s="842"/>
    </row>
    <row r="364" spans="1:11" s="830" customFormat="1" ht="24.95" customHeight="1" outlineLevel="1">
      <c r="A364" s="844"/>
      <c r="B364" s="1006" t="s">
        <v>948</v>
      </c>
      <c r="C364" s="414" t="s">
        <v>949</v>
      </c>
      <c r="D364" s="456" t="s">
        <v>950</v>
      </c>
      <c r="E364" s="414" t="s">
        <v>60</v>
      </c>
      <c r="F364" s="964">
        <f>Plan1!D336</f>
        <v>5</v>
      </c>
      <c r="G364" s="893">
        <f t="shared" ref="G364:G371" si="106">K364</f>
        <v>604.39</v>
      </c>
      <c r="H364" s="883">
        <f t="shared" ref="H364:H371" si="107">F364*G364</f>
        <v>3021.95</v>
      </c>
      <c r="I364" s="844"/>
      <c r="J364" s="981">
        <f>composições!F33</f>
        <v>477.36</v>
      </c>
      <c r="K364" s="842">
        <f>ROUND(J364*(1+$H$14),2)</f>
        <v>604.39</v>
      </c>
    </row>
    <row r="365" spans="1:11" s="830" customFormat="1" ht="36" customHeight="1" outlineLevel="1">
      <c r="A365" s="844"/>
      <c r="B365" s="1006" t="s">
        <v>951</v>
      </c>
      <c r="C365" s="414" t="s">
        <v>952</v>
      </c>
      <c r="D365" s="456" t="s">
        <v>953</v>
      </c>
      <c r="E365" s="414" t="s">
        <v>60</v>
      </c>
      <c r="F365" s="964">
        <f>Plan1!D337</f>
        <v>6</v>
      </c>
      <c r="G365" s="893">
        <f t="shared" si="106"/>
        <v>721.75</v>
      </c>
      <c r="H365" s="883">
        <f t="shared" si="107"/>
        <v>4330.5</v>
      </c>
      <c r="I365" s="844"/>
      <c r="J365" s="981">
        <f>composições!F67</f>
        <v>570.05999999999995</v>
      </c>
      <c r="K365" s="842">
        <f t="shared" ref="K365:K368" si="108">ROUND(J365*(1+$H$14),2)</f>
        <v>721.75</v>
      </c>
    </row>
    <row r="366" spans="1:11" s="830" customFormat="1" ht="36" customHeight="1" outlineLevel="1">
      <c r="A366" s="844"/>
      <c r="B366" s="1006" t="s">
        <v>954</v>
      </c>
      <c r="C366" s="414" t="s">
        <v>955</v>
      </c>
      <c r="D366" s="438" t="s">
        <v>956</v>
      </c>
      <c r="E366" s="414" t="s">
        <v>60</v>
      </c>
      <c r="F366" s="964">
        <f>Plan1!D338</f>
        <v>1</v>
      </c>
      <c r="G366" s="893">
        <f t="shared" si="106"/>
        <v>3327.16</v>
      </c>
      <c r="H366" s="883">
        <f t="shared" si="107"/>
        <v>3327.16</v>
      </c>
      <c r="I366" s="844"/>
      <c r="J366" s="981">
        <f>composições!F101</f>
        <v>2627.88</v>
      </c>
      <c r="K366" s="842">
        <f t="shared" si="108"/>
        <v>3327.16</v>
      </c>
    </row>
    <row r="367" spans="1:11" s="830" customFormat="1" ht="36" customHeight="1" outlineLevel="1">
      <c r="A367" s="844"/>
      <c r="B367" s="1006" t="s">
        <v>957</v>
      </c>
      <c r="C367" s="414" t="s">
        <v>958</v>
      </c>
      <c r="D367" s="438" t="s">
        <v>959</v>
      </c>
      <c r="E367" s="414" t="s">
        <v>38</v>
      </c>
      <c r="F367" s="964">
        <f>Plan1!D339</f>
        <v>350</v>
      </c>
      <c r="G367" s="893">
        <f t="shared" si="106"/>
        <v>4.29</v>
      </c>
      <c r="H367" s="883">
        <f t="shared" si="107"/>
        <v>1501.5</v>
      </c>
      <c r="I367" s="844"/>
      <c r="J367" s="981">
        <f>composições!F136</f>
        <v>3.3886000000000003</v>
      </c>
      <c r="K367" s="842">
        <f t="shared" si="108"/>
        <v>4.29</v>
      </c>
    </row>
    <row r="368" spans="1:11" s="830" customFormat="1" ht="33" customHeight="1" outlineLevel="1">
      <c r="A368" s="844"/>
      <c r="B368" s="1006" t="s">
        <v>960</v>
      </c>
      <c r="C368" s="414" t="s">
        <v>961</v>
      </c>
      <c r="D368" s="437" t="s">
        <v>962</v>
      </c>
      <c r="E368" s="414" t="s">
        <v>60</v>
      </c>
      <c r="F368" s="964">
        <f>Plan1!D340</f>
        <v>22</v>
      </c>
      <c r="G368" s="893">
        <f t="shared" si="106"/>
        <v>24.76</v>
      </c>
      <c r="H368" s="883">
        <f t="shared" si="107"/>
        <v>544.72</v>
      </c>
      <c r="I368" s="844"/>
      <c r="J368" s="981">
        <v>19.559999999999999</v>
      </c>
      <c r="K368" s="842">
        <f t="shared" si="108"/>
        <v>24.76</v>
      </c>
    </row>
    <row r="369" spans="1:11" s="830" customFormat="1" ht="32.1" customHeight="1" outlineLevel="1">
      <c r="A369" s="844"/>
      <c r="B369" s="1006" t="s">
        <v>963</v>
      </c>
      <c r="C369" s="414" t="s">
        <v>964</v>
      </c>
      <c r="D369" s="456" t="s">
        <v>965</v>
      </c>
      <c r="E369" s="414" t="s">
        <v>60</v>
      </c>
      <c r="F369" s="964">
        <f>Plan1!D341</f>
        <v>1</v>
      </c>
      <c r="G369" s="893">
        <f t="shared" si="106"/>
        <v>256.3</v>
      </c>
      <c r="H369" s="883">
        <f t="shared" si="107"/>
        <v>256.3</v>
      </c>
      <c r="I369" s="844"/>
      <c r="J369" s="981">
        <f>composições!F170</f>
        <v>202.42999999999998</v>
      </c>
      <c r="K369" s="842">
        <f t="shared" ref="K369:K421" si="109">ROUND(J369*(1+$H$14),2)</f>
        <v>256.3</v>
      </c>
    </row>
    <row r="370" spans="1:11" s="830" customFormat="1" ht="35.1" customHeight="1" outlineLevel="1">
      <c r="A370" s="844"/>
      <c r="B370" s="1006" t="s">
        <v>966</v>
      </c>
      <c r="C370" s="414" t="s">
        <v>967</v>
      </c>
      <c r="D370" s="438" t="s">
        <v>968</v>
      </c>
      <c r="E370" s="414" t="s">
        <v>60</v>
      </c>
      <c r="F370" s="964">
        <f>Plan1!D342</f>
        <v>1</v>
      </c>
      <c r="G370" s="893">
        <f t="shared" si="106"/>
        <v>772.59</v>
      </c>
      <c r="H370" s="883">
        <f t="shared" si="107"/>
        <v>772.59</v>
      </c>
      <c r="I370" s="844"/>
      <c r="J370" s="981">
        <f>composições!F238</f>
        <v>610.21</v>
      </c>
      <c r="K370" s="842">
        <f t="shared" si="109"/>
        <v>772.59</v>
      </c>
    </row>
    <row r="371" spans="1:11" s="830" customFormat="1" ht="35.1" customHeight="1" outlineLevel="1">
      <c r="A371" s="844"/>
      <c r="B371" s="1006" t="s">
        <v>969</v>
      </c>
      <c r="C371" s="414" t="s">
        <v>970</v>
      </c>
      <c r="D371" s="456" t="s">
        <v>971</v>
      </c>
      <c r="E371" s="414" t="s">
        <v>60</v>
      </c>
      <c r="F371" s="964">
        <f>Plan1!D343</f>
        <v>1</v>
      </c>
      <c r="G371" s="893">
        <f t="shared" si="106"/>
        <v>2939.57</v>
      </c>
      <c r="H371" s="883">
        <f t="shared" si="107"/>
        <v>2939.57</v>
      </c>
      <c r="I371" s="844"/>
      <c r="J371" s="981">
        <f>composições!F204</f>
        <v>2321.75</v>
      </c>
      <c r="K371" s="842">
        <f t="shared" si="109"/>
        <v>2939.57</v>
      </c>
    </row>
    <row r="372" spans="1:11" s="831" customFormat="1" ht="29.1" customHeight="1" outlineLevel="1">
      <c r="A372" s="900"/>
      <c r="B372" s="1014" t="s">
        <v>972</v>
      </c>
      <c r="C372" s="474"/>
      <c r="D372" s="474" t="s">
        <v>973</v>
      </c>
      <c r="E372" s="474"/>
      <c r="F372" s="1015"/>
      <c r="G372" s="904"/>
      <c r="H372" s="905"/>
      <c r="I372" s="900"/>
      <c r="J372" s="917"/>
      <c r="K372" s="918"/>
    </row>
    <row r="373" spans="1:11" s="830" customFormat="1" ht="33.75" customHeight="1" outlineLevel="1">
      <c r="A373" s="844"/>
      <c r="B373" s="1016" t="s">
        <v>974</v>
      </c>
      <c r="C373" s="414" t="s">
        <v>975</v>
      </c>
      <c r="D373" s="437" t="s">
        <v>976</v>
      </c>
      <c r="E373" s="414" t="s">
        <v>60</v>
      </c>
      <c r="F373" s="964">
        <f>Plan1!D345</f>
        <v>1</v>
      </c>
      <c r="G373" s="893">
        <f t="shared" ref="G373:G380" si="110">K373</f>
        <v>280.64</v>
      </c>
      <c r="H373" s="883">
        <f t="shared" ref="H373:H380" si="111">F373*G373</f>
        <v>280.64</v>
      </c>
      <c r="I373" s="844"/>
      <c r="J373" s="841">
        <f>composições!F273</f>
        <v>221.66</v>
      </c>
      <c r="K373" s="842">
        <f t="shared" si="109"/>
        <v>280.64</v>
      </c>
    </row>
    <row r="374" spans="1:11" s="834" customFormat="1" ht="24.95" customHeight="1" outlineLevel="1">
      <c r="A374" s="900"/>
      <c r="B374" s="901" t="s">
        <v>977</v>
      </c>
      <c r="C374" s="927"/>
      <c r="D374" s="417" t="s">
        <v>978</v>
      </c>
      <c r="E374" s="418"/>
      <c r="F374" s="967"/>
      <c r="G374" s="904"/>
      <c r="H374" s="905"/>
      <c r="I374" s="900"/>
      <c r="J374" s="917"/>
      <c r="K374" s="918"/>
    </row>
    <row r="375" spans="1:11" s="832" customFormat="1" ht="24.95" customHeight="1" outlineLevel="1">
      <c r="A375" s="885"/>
      <c r="B375" s="449" t="s">
        <v>979</v>
      </c>
      <c r="C375" s="414" t="s">
        <v>980</v>
      </c>
      <c r="D375" s="466" t="s">
        <v>981</v>
      </c>
      <c r="E375" s="414" t="s">
        <v>60</v>
      </c>
      <c r="F375" s="964">
        <f>Plan1!D347</f>
        <v>8</v>
      </c>
      <c r="G375" s="925">
        <f t="shared" si="110"/>
        <v>364.33</v>
      </c>
      <c r="H375" s="889">
        <f t="shared" si="111"/>
        <v>2914.64</v>
      </c>
      <c r="I375" s="885"/>
      <c r="J375" s="915">
        <f>composições!F308</f>
        <v>287.76</v>
      </c>
      <c r="K375" s="916">
        <f t="shared" si="109"/>
        <v>364.33</v>
      </c>
    </row>
    <row r="376" spans="1:11" s="831" customFormat="1" ht="27.95" customHeight="1" outlineLevel="1">
      <c r="A376" s="900"/>
      <c r="B376" s="966" t="s">
        <v>982</v>
      </c>
      <c r="C376" s="927"/>
      <c r="D376" s="417" t="s">
        <v>983</v>
      </c>
      <c r="E376" s="418"/>
      <c r="F376" s="967"/>
      <c r="G376" s="904"/>
      <c r="H376" s="905"/>
      <c r="I376" s="900"/>
      <c r="J376" s="917"/>
      <c r="K376" s="918"/>
    </row>
    <row r="377" spans="1:11" s="830" customFormat="1" ht="40.5" customHeight="1" outlineLevel="1">
      <c r="A377" s="844"/>
      <c r="B377" s="1006" t="s">
        <v>984</v>
      </c>
      <c r="C377" s="420" t="s">
        <v>985</v>
      </c>
      <c r="D377" s="456" t="s">
        <v>986</v>
      </c>
      <c r="E377" s="414" t="s">
        <v>60</v>
      </c>
      <c r="F377" s="964">
        <f>Plan1!D349</f>
        <v>1</v>
      </c>
      <c r="G377" s="893">
        <f t="shared" si="110"/>
        <v>1595.07</v>
      </c>
      <c r="H377" s="883">
        <f t="shared" si="111"/>
        <v>1595.07</v>
      </c>
      <c r="I377" s="844"/>
      <c r="J377" s="981">
        <v>1259.83</v>
      </c>
      <c r="K377" s="842">
        <f t="shared" si="109"/>
        <v>1595.07</v>
      </c>
    </row>
    <row r="378" spans="1:11" s="830" customFormat="1" ht="39" customHeight="1" outlineLevel="1">
      <c r="A378" s="844"/>
      <c r="B378" s="1006" t="s">
        <v>987</v>
      </c>
      <c r="C378" s="420" t="s">
        <v>988</v>
      </c>
      <c r="D378" s="438" t="s">
        <v>959</v>
      </c>
      <c r="E378" s="414" t="s">
        <v>38</v>
      </c>
      <c r="F378" s="964">
        <f>Plan1!D350</f>
        <v>1500</v>
      </c>
      <c r="G378" s="893">
        <f t="shared" si="110"/>
        <v>4.29</v>
      </c>
      <c r="H378" s="883">
        <f t="shared" si="111"/>
        <v>6435</v>
      </c>
      <c r="I378" s="844"/>
      <c r="J378" s="981">
        <f>composições!F344</f>
        <v>3.3886000000000003</v>
      </c>
      <c r="K378" s="842">
        <f t="shared" si="109"/>
        <v>4.29</v>
      </c>
    </row>
    <row r="379" spans="1:11" s="830" customFormat="1" ht="37.5" customHeight="1" outlineLevel="1">
      <c r="A379" s="844"/>
      <c r="B379" s="1006" t="s">
        <v>989</v>
      </c>
      <c r="C379" s="420" t="s">
        <v>990</v>
      </c>
      <c r="D379" s="438" t="s">
        <v>962</v>
      </c>
      <c r="E379" s="414" t="s">
        <v>60</v>
      </c>
      <c r="F379" s="964">
        <f>Plan1!D351</f>
        <v>32</v>
      </c>
      <c r="G379" s="893">
        <f t="shared" ref="G379" si="112">K379</f>
        <v>24.76</v>
      </c>
      <c r="H379" s="883">
        <f t="shared" ref="H379" si="113">F379*G379</f>
        <v>792.32</v>
      </c>
      <c r="I379" s="844"/>
      <c r="J379" s="981">
        <v>19.559999999999999</v>
      </c>
      <c r="K379" s="842">
        <f t="shared" ref="K379" si="114">ROUND(J379*(1+$H$14),2)</f>
        <v>24.76</v>
      </c>
    </row>
    <row r="380" spans="1:11" s="830" customFormat="1" ht="36" customHeight="1" outlineLevel="1">
      <c r="A380" s="844"/>
      <c r="B380" s="1006" t="s">
        <v>991</v>
      </c>
      <c r="C380" s="420" t="s">
        <v>992</v>
      </c>
      <c r="D380" s="454" t="s">
        <v>993</v>
      </c>
      <c r="E380" s="420" t="s">
        <v>60</v>
      </c>
      <c r="F380" s="970">
        <f>Plan1!D352</f>
        <v>1</v>
      </c>
      <c r="G380" s="893">
        <f t="shared" si="110"/>
        <v>1457.61</v>
      </c>
      <c r="H380" s="883">
        <f t="shared" si="111"/>
        <v>1457.61</v>
      </c>
      <c r="I380" s="844"/>
      <c r="J380" s="982">
        <v>1151.26</v>
      </c>
      <c r="K380" s="842">
        <f t="shared" si="109"/>
        <v>1457.61</v>
      </c>
    </row>
    <row r="381" spans="1:11" s="831" customFormat="1" ht="27.95" customHeight="1" outlineLevel="1">
      <c r="A381" s="900"/>
      <c r="B381" s="1017">
        <v>22</v>
      </c>
      <c r="C381" s="434"/>
      <c r="D381" s="417" t="s">
        <v>994</v>
      </c>
      <c r="E381" s="434"/>
      <c r="F381" s="976"/>
      <c r="G381" s="904"/>
      <c r="H381" s="905"/>
      <c r="I381" s="900"/>
      <c r="J381" s="984"/>
      <c r="K381" s="918"/>
    </row>
    <row r="382" spans="1:11" s="832" customFormat="1" ht="56.25" customHeight="1" outlineLevel="1">
      <c r="A382" s="885"/>
      <c r="B382" s="1005" t="s">
        <v>995</v>
      </c>
      <c r="C382" s="886" t="s">
        <v>996</v>
      </c>
      <c r="D382" s="451" t="s">
        <v>997</v>
      </c>
      <c r="E382" s="449" t="s">
        <v>60</v>
      </c>
      <c r="F382" s="992">
        <f>Plan1!D354</f>
        <v>1</v>
      </c>
      <c r="G382" s="925">
        <f t="shared" ref="G382" si="115">K382</f>
        <v>13190.91</v>
      </c>
      <c r="H382" s="889">
        <f t="shared" ref="H382" si="116">F382*G382</f>
        <v>13190.91</v>
      </c>
      <c r="I382" s="885"/>
      <c r="J382" s="982">
        <v>10418.540000000001</v>
      </c>
      <c r="K382" s="916">
        <f t="shared" ref="K382" si="117">ROUND(J382*(1+$H$14),2)</f>
        <v>13190.91</v>
      </c>
    </row>
    <row r="383" spans="1:11" s="831" customFormat="1" ht="29.1" customHeight="1" outlineLevel="1">
      <c r="A383" s="900"/>
      <c r="B383" s="1017">
        <v>23</v>
      </c>
      <c r="C383" s="434"/>
      <c r="D383" s="417" t="s">
        <v>998</v>
      </c>
      <c r="E383" s="434"/>
      <c r="F383" s="976"/>
      <c r="G383" s="904"/>
      <c r="H383" s="905"/>
      <c r="I383" s="900"/>
      <c r="J383" s="984"/>
      <c r="K383" s="918"/>
    </row>
    <row r="384" spans="1:11" s="830" customFormat="1" ht="41.25" customHeight="1" outlineLevel="1">
      <c r="A384" s="844"/>
      <c r="B384" s="962" t="s">
        <v>999</v>
      </c>
      <c r="C384" s="963" t="s">
        <v>1000</v>
      </c>
      <c r="D384" s="421" t="s">
        <v>1001</v>
      </c>
      <c r="E384" s="414" t="s">
        <v>691</v>
      </c>
      <c r="F384" s="964">
        <f>Plan1!D356</f>
        <v>4</v>
      </c>
      <c r="G384" s="893">
        <f t="shared" ref="G384:G400" si="118">K384</f>
        <v>338.72</v>
      </c>
      <c r="H384" s="883">
        <f t="shared" ref="H384:H400" si="119">F384*G384</f>
        <v>1354.88</v>
      </c>
      <c r="I384" s="844"/>
      <c r="J384" s="993">
        <v>267.52999999999997</v>
      </c>
      <c r="K384" s="842">
        <f t="shared" ref="K384:K400" si="120">ROUND(J384*(1+$H$14),2)</f>
        <v>338.72</v>
      </c>
    </row>
    <row r="385" spans="1:11" s="830" customFormat="1" ht="50.1" customHeight="1" outlineLevel="1">
      <c r="A385" s="844"/>
      <c r="B385" s="962" t="s">
        <v>1002</v>
      </c>
      <c r="C385" s="963" t="s">
        <v>1003</v>
      </c>
      <c r="D385" s="421" t="s">
        <v>1004</v>
      </c>
      <c r="E385" s="414" t="s">
        <v>691</v>
      </c>
      <c r="F385" s="964">
        <f>Plan1!D357</f>
        <v>1</v>
      </c>
      <c r="G385" s="893">
        <f t="shared" si="118"/>
        <v>788</v>
      </c>
      <c r="H385" s="883">
        <f t="shared" si="119"/>
        <v>788</v>
      </c>
      <c r="I385" s="844"/>
      <c r="J385" s="981">
        <v>622.38</v>
      </c>
      <c r="K385" s="842">
        <f t="shared" si="120"/>
        <v>788</v>
      </c>
    </row>
    <row r="386" spans="1:11" s="830" customFormat="1" ht="35.1" customHeight="1" outlineLevel="1">
      <c r="A386" s="844"/>
      <c r="B386" s="962" t="s">
        <v>1005</v>
      </c>
      <c r="C386" s="963" t="s">
        <v>1006</v>
      </c>
      <c r="D386" s="413" t="s">
        <v>1007</v>
      </c>
      <c r="E386" s="414" t="s">
        <v>1008</v>
      </c>
      <c r="F386" s="964">
        <f>Plan1!D358</f>
        <v>175</v>
      </c>
      <c r="G386" s="893">
        <f t="shared" si="118"/>
        <v>96.68</v>
      </c>
      <c r="H386" s="883">
        <f t="shared" si="119"/>
        <v>16919</v>
      </c>
      <c r="I386" s="844"/>
      <c r="J386" s="981">
        <v>76.36</v>
      </c>
      <c r="K386" s="842">
        <f t="shared" si="120"/>
        <v>96.68</v>
      </c>
    </row>
    <row r="387" spans="1:11" s="830" customFormat="1" ht="45" outlineLevel="1">
      <c r="A387" s="844"/>
      <c r="B387" s="962" t="s">
        <v>1009</v>
      </c>
      <c r="C387" s="963" t="s">
        <v>1010</v>
      </c>
      <c r="D387" s="413" t="s">
        <v>1011</v>
      </c>
      <c r="E387" s="414" t="s">
        <v>691</v>
      </c>
      <c r="F387" s="964">
        <f>Plan1!D359</f>
        <v>1</v>
      </c>
      <c r="G387" s="893">
        <f t="shared" si="118"/>
        <v>221</v>
      </c>
      <c r="H387" s="883">
        <f t="shared" si="119"/>
        <v>221</v>
      </c>
      <c r="I387" s="844"/>
      <c r="J387" s="981">
        <v>174.55</v>
      </c>
      <c r="K387" s="842">
        <f t="shared" si="120"/>
        <v>221</v>
      </c>
    </row>
    <row r="388" spans="1:11" s="830" customFormat="1" ht="41.1" customHeight="1" outlineLevel="1">
      <c r="A388" s="844"/>
      <c r="B388" s="962" t="s">
        <v>1012</v>
      </c>
      <c r="C388" s="414" t="s">
        <v>1013</v>
      </c>
      <c r="D388" s="438" t="s">
        <v>1014</v>
      </c>
      <c r="E388" s="469" t="s">
        <v>1008</v>
      </c>
      <c r="F388" s="1018">
        <f>Plan1!D360</f>
        <v>180</v>
      </c>
      <c r="G388" s="893">
        <f t="shared" si="118"/>
        <v>85.18</v>
      </c>
      <c r="H388" s="883">
        <f t="shared" si="119"/>
        <v>15332.400000000001</v>
      </c>
      <c r="I388" s="844"/>
      <c r="J388" s="981">
        <v>67.28</v>
      </c>
      <c r="K388" s="842">
        <f t="shared" si="120"/>
        <v>85.18</v>
      </c>
    </row>
    <row r="389" spans="1:11" s="830" customFormat="1" ht="38.1" customHeight="1" outlineLevel="1">
      <c r="A389" s="844"/>
      <c r="B389" s="962" t="s">
        <v>1015</v>
      </c>
      <c r="C389" s="414" t="s">
        <v>1016</v>
      </c>
      <c r="D389" s="438" t="s">
        <v>1017</v>
      </c>
      <c r="E389" s="469" t="s">
        <v>691</v>
      </c>
      <c r="F389" s="1018">
        <f>Plan1!D361</f>
        <v>5</v>
      </c>
      <c r="G389" s="893">
        <f t="shared" si="118"/>
        <v>168.35</v>
      </c>
      <c r="H389" s="883">
        <f t="shared" si="119"/>
        <v>841.75</v>
      </c>
      <c r="I389" s="844"/>
      <c r="J389" s="981">
        <v>132.97</v>
      </c>
      <c r="K389" s="842">
        <f t="shared" si="120"/>
        <v>168.35</v>
      </c>
    </row>
    <row r="390" spans="1:11" s="830" customFormat="1" ht="35.1" customHeight="1" outlineLevel="1">
      <c r="A390" s="844"/>
      <c r="B390" s="962" t="s">
        <v>1018</v>
      </c>
      <c r="C390" s="414" t="s">
        <v>1019</v>
      </c>
      <c r="D390" s="454" t="s">
        <v>1020</v>
      </c>
      <c r="E390" s="469" t="s">
        <v>691</v>
      </c>
      <c r="F390" s="1018">
        <f>Plan1!D362</f>
        <v>280</v>
      </c>
      <c r="G390" s="893">
        <f t="shared" si="118"/>
        <v>22.21</v>
      </c>
      <c r="H390" s="883">
        <f t="shared" si="119"/>
        <v>6218.8</v>
      </c>
      <c r="I390" s="844"/>
      <c r="J390" s="981">
        <v>17.54</v>
      </c>
      <c r="K390" s="842">
        <f t="shared" si="120"/>
        <v>22.21</v>
      </c>
    </row>
    <row r="391" spans="1:11" s="830" customFormat="1" ht="35.1" customHeight="1" outlineLevel="1">
      <c r="A391" s="844"/>
      <c r="B391" s="962" t="s">
        <v>1021</v>
      </c>
      <c r="C391" s="414" t="s">
        <v>1022</v>
      </c>
      <c r="D391" s="438" t="s">
        <v>1023</v>
      </c>
      <c r="E391" s="469" t="s">
        <v>691</v>
      </c>
      <c r="F391" s="1018">
        <f>Plan1!D363</f>
        <v>1</v>
      </c>
      <c r="G391" s="893">
        <f t="shared" si="118"/>
        <v>350.68</v>
      </c>
      <c r="H391" s="883">
        <f t="shared" si="119"/>
        <v>350.68</v>
      </c>
      <c r="I391" s="844"/>
      <c r="J391" s="981">
        <v>276.98</v>
      </c>
      <c r="K391" s="842">
        <f t="shared" si="120"/>
        <v>350.68</v>
      </c>
    </row>
    <row r="392" spans="1:11" s="830" customFormat="1" ht="31.5" customHeight="1" outlineLevel="1">
      <c r="A392" s="844"/>
      <c r="B392" s="962" t="s">
        <v>1024</v>
      </c>
      <c r="C392" s="414" t="s">
        <v>1025</v>
      </c>
      <c r="D392" s="456" t="s">
        <v>1026</v>
      </c>
      <c r="E392" s="469" t="s">
        <v>691</v>
      </c>
      <c r="F392" s="1018">
        <f>Plan1!D364</f>
        <v>17</v>
      </c>
      <c r="G392" s="893">
        <f t="shared" si="118"/>
        <v>124.86</v>
      </c>
      <c r="H392" s="883">
        <f t="shared" si="119"/>
        <v>2122.62</v>
      </c>
      <c r="I392" s="844"/>
      <c r="J392" s="981">
        <v>98.62</v>
      </c>
      <c r="K392" s="842">
        <f t="shared" si="120"/>
        <v>124.86</v>
      </c>
    </row>
    <row r="393" spans="1:11" s="830" customFormat="1" ht="59.1" customHeight="1" outlineLevel="1">
      <c r="A393" s="844"/>
      <c r="B393" s="962" t="s">
        <v>1027</v>
      </c>
      <c r="C393" s="414" t="s">
        <v>1028</v>
      </c>
      <c r="D393" s="438" t="s">
        <v>1029</v>
      </c>
      <c r="E393" s="469" t="s">
        <v>691</v>
      </c>
      <c r="F393" s="1018">
        <f>Plan1!D365</f>
        <v>17</v>
      </c>
      <c r="G393" s="893">
        <f t="shared" si="118"/>
        <v>52.07</v>
      </c>
      <c r="H393" s="883">
        <f t="shared" si="119"/>
        <v>885.19</v>
      </c>
      <c r="I393" s="844"/>
      <c r="J393" s="981">
        <v>41.13</v>
      </c>
      <c r="K393" s="842">
        <f t="shared" si="120"/>
        <v>52.07</v>
      </c>
    </row>
    <row r="394" spans="1:11" s="830" customFormat="1" ht="56.25" customHeight="1" outlineLevel="1">
      <c r="A394" s="844"/>
      <c r="B394" s="962" t="s">
        <v>1030</v>
      </c>
      <c r="C394" s="414" t="s">
        <v>1031</v>
      </c>
      <c r="D394" s="438" t="s">
        <v>1032</v>
      </c>
      <c r="E394" s="469" t="s">
        <v>691</v>
      </c>
      <c r="F394" s="1018">
        <f>Plan1!D366</f>
        <v>17</v>
      </c>
      <c r="G394" s="893">
        <f t="shared" si="118"/>
        <v>44.68</v>
      </c>
      <c r="H394" s="883">
        <f t="shared" si="119"/>
        <v>759.56</v>
      </c>
      <c r="I394" s="844"/>
      <c r="J394" s="981">
        <v>35.29</v>
      </c>
      <c r="K394" s="842">
        <f t="shared" si="120"/>
        <v>44.68</v>
      </c>
    </row>
    <row r="395" spans="1:11" s="830" customFormat="1" ht="35.1" customHeight="1" outlineLevel="1">
      <c r="A395" s="844"/>
      <c r="B395" s="962" t="s">
        <v>1033</v>
      </c>
      <c r="C395" s="414" t="s">
        <v>1034</v>
      </c>
      <c r="D395" s="438" t="s">
        <v>1035</v>
      </c>
      <c r="E395" s="469" t="s">
        <v>691</v>
      </c>
      <c r="F395" s="1018">
        <f>Plan1!D367</f>
        <v>14</v>
      </c>
      <c r="G395" s="893">
        <f t="shared" si="118"/>
        <v>8.0399999999999991</v>
      </c>
      <c r="H395" s="883">
        <f t="shared" si="119"/>
        <v>112.55999999999999</v>
      </c>
      <c r="I395" s="844"/>
      <c r="J395" s="981">
        <f>composições!F756</f>
        <v>6.3469999999999995</v>
      </c>
      <c r="K395" s="842">
        <f t="shared" si="120"/>
        <v>8.0399999999999991</v>
      </c>
    </row>
    <row r="396" spans="1:11" s="830" customFormat="1" ht="35.1" customHeight="1" outlineLevel="1">
      <c r="A396" s="844"/>
      <c r="B396" s="962" t="s">
        <v>1036</v>
      </c>
      <c r="C396" s="414" t="s">
        <v>1037</v>
      </c>
      <c r="D396" s="456" t="s">
        <v>1038</v>
      </c>
      <c r="E396" s="469" t="s">
        <v>691</v>
      </c>
      <c r="F396" s="1018">
        <f>Plan1!D368</f>
        <v>18</v>
      </c>
      <c r="G396" s="893">
        <f t="shared" si="118"/>
        <v>28.06</v>
      </c>
      <c r="H396" s="883">
        <f t="shared" si="119"/>
        <v>505.08</v>
      </c>
      <c r="I396" s="844"/>
      <c r="J396" s="981">
        <v>22.16</v>
      </c>
      <c r="K396" s="842">
        <f t="shared" si="120"/>
        <v>28.06</v>
      </c>
    </row>
    <row r="397" spans="1:11" s="830" customFormat="1" ht="35.1" customHeight="1" outlineLevel="1">
      <c r="A397" s="844"/>
      <c r="B397" s="962" t="s">
        <v>1039</v>
      </c>
      <c r="C397" s="414" t="s">
        <v>1040</v>
      </c>
      <c r="D397" s="456" t="s">
        <v>1041</v>
      </c>
      <c r="E397" s="469" t="s">
        <v>691</v>
      </c>
      <c r="F397" s="1018">
        <f>Plan1!D369</f>
        <v>180</v>
      </c>
      <c r="G397" s="893">
        <f t="shared" si="118"/>
        <v>2.67</v>
      </c>
      <c r="H397" s="883">
        <f t="shared" si="119"/>
        <v>480.59999999999997</v>
      </c>
      <c r="I397" s="844"/>
      <c r="J397" s="981">
        <f>composições!F792</f>
        <v>2.1053999999999999</v>
      </c>
      <c r="K397" s="842">
        <f t="shared" si="120"/>
        <v>2.67</v>
      </c>
    </row>
    <row r="398" spans="1:11" s="830" customFormat="1" ht="35.1" customHeight="1" outlineLevel="1">
      <c r="A398" s="844"/>
      <c r="B398" s="962" t="s">
        <v>1042</v>
      </c>
      <c r="C398" s="414" t="s">
        <v>1043</v>
      </c>
      <c r="D398" s="455" t="s">
        <v>1044</v>
      </c>
      <c r="E398" s="469" t="s">
        <v>691</v>
      </c>
      <c r="F398" s="1018">
        <f>Plan1!D370</f>
        <v>17</v>
      </c>
      <c r="G398" s="893">
        <f t="shared" si="118"/>
        <v>18.940000000000001</v>
      </c>
      <c r="H398" s="883">
        <f t="shared" si="119"/>
        <v>321.98</v>
      </c>
      <c r="I398" s="844"/>
      <c r="J398" s="981">
        <v>14.96</v>
      </c>
      <c r="K398" s="842">
        <f t="shared" si="120"/>
        <v>18.940000000000001</v>
      </c>
    </row>
    <row r="399" spans="1:11" s="830" customFormat="1" ht="35.1" customHeight="1" outlineLevel="1">
      <c r="A399" s="844"/>
      <c r="B399" s="962" t="s">
        <v>1045</v>
      </c>
      <c r="C399" s="414" t="s">
        <v>1046</v>
      </c>
      <c r="D399" s="456" t="s">
        <v>1047</v>
      </c>
      <c r="E399" s="469" t="s">
        <v>691</v>
      </c>
      <c r="F399" s="1018">
        <f>Plan1!D371</f>
        <v>176</v>
      </c>
      <c r="G399" s="893">
        <f t="shared" si="118"/>
        <v>44.31</v>
      </c>
      <c r="H399" s="883">
        <f t="shared" si="119"/>
        <v>7798.56</v>
      </c>
      <c r="I399" s="844"/>
      <c r="J399" s="981">
        <v>35</v>
      </c>
      <c r="K399" s="842">
        <f t="shared" si="120"/>
        <v>44.31</v>
      </c>
    </row>
    <row r="400" spans="1:11" s="830" customFormat="1" ht="35.1" customHeight="1" outlineLevel="1">
      <c r="A400" s="844"/>
      <c r="B400" s="962" t="s">
        <v>1048</v>
      </c>
      <c r="C400" s="414" t="s">
        <v>1049</v>
      </c>
      <c r="D400" s="456" t="s">
        <v>1050</v>
      </c>
      <c r="E400" s="469" t="s">
        <v>691</v>
      </c>
      <c r="F400" s="1018">
        <f>Plan1!D372</f>
        <v>130</v>
      </c>
      <c r="G400" s="893">
        <f t="shared" si="118"/>
        <v>0.39</v>
      </c>
      <c r="H400" s="883">
        <f t="shared" si="119"/>
        <v>50.7</v>
      </c>
      <c r="I400" s="844"/>
      <c r="J400" s="993">
        <v>0.31</v>
      </c>
      <c r="K400" s="842">
        <f t="shared" si="120"/>
        <v>0.39</v>
      </c>
    </row>
    <row r="401" spans="1:1026" s="826" customFormat="1" ht="24.95" customHeight="1">
      <c r="A401" s="900"/>
      <c r="B401" s="1019">
        <v>24</v>
      </c>
      <c r="C401" s="1019"/>
      <c r="D401" s="475" t="s">
        <v>1051</v>
      </c>
      <c r="E401" s="476"/>
      <c r="F401" s="1020"/>
      <c r="G401" s="1021"/>
      <c r="H401" s="1022"/>
      <c r="I401" s="900"/>
      <c r="J401" s="917"/>
      <c r="K401" s="918"/>
      <c r="L401" s="834"/>
      <c r="M401" s="834"/>
      <c r="N401" s="834"/>
      <c r="O401" s="834"/>
      <c r="P401" s="834"/>
      <c r="Q401" s="834"/>
      <c r="R401" s="834"/>
      <c r="S401" s="834"/>
      <c r="T401" s="834"/>
      <c r="U401" s="834"/>
      <c r="V401" s="834"/>
      <c r="W401" s="834"/>
      <c r="X401" s="834"/>
      <c r="Y401" s="834"/>
      <c r="Z401" s="834"/>
      <c r="AA401" s="834"/>
      <c r="AB401" s="834"/>
      <c r="AC401" s="834"/>
      <c r="AD401" s="834"/>
      <c r="AE401" s="834"/>
      <c r="AF401" s="834"/>
      <c r="AG401" s="834"/>
      <c r="AH401" s="834"/>
      <c r="AI401" s="834"/>
      <c r="AJ401" s="834"/>
      <c r="AK401" s="834"/>
      <c r="AL401" s="834"/>
      <c r="AM401" s="834"/>
      <c r="AN401" s="834"/>
      <c r="AO401" s="834"/>
      <c r="AP401" s="834"/>
      <c r="AQ401" s="834"/>
      <c r="AR401" s="834"/>
      <c r="AS401" s="834"/>
      <c r="AT401" s="834"/>
      <c r="AU401" s="834"/>
      <c r="AV401" s="834"/>
      <c r="AW401" s="834"/>
      <c r="AX401" s="834"/>
      <c r="AY401" s="834"/>
      <c r="AZ401" s="834"/>
      <c r="BA401" s="834"/>
      <c r="BB401" s="834"/>
      <c r="BC401" s="834"/>
      <c r="BD401" s="834"/>
      <c r="BE401" s="834"/>
      <c r="BF401" s="834"/>
      <c r="BG401" s="834"/>
      <c r="BH401" s="834"/>
      <c r="BI401" s="834"/>
      <c r="BJ401" s="834"/>
      <c r="BK401" s="834"/>
      <c r="BL401" s="834"/>
      <c r="BM401" s="834"/>
      <c r="BN401" s="834"/>
      <c r="BO401" s="834"/>
      <c r="BP401" s="834"/>
      <c r="BQ401" s="834"/>
      <c r="BR401" s="834"/>
      <c r="BS401" s="834"/>
      <c r="BT401" s="834"/>
      <c r="BU401" s="834"/>
      <c r="BV401" s="834"/>
      <c r="BW401" s="834"/>
      <c r="BX401" s="834"/>
      <c r="BY401" s="834"/>
      <c r="BZ401" s="834"/>
      <c r="CA401" s="834"/>
      <c r="CB401" s="834"/>
      <c r="CC401" s="834"/>
      <c r="CD401" s="834"/>
      <c r="CE401" s="834"/>
      <c r="CF401" s="834"/>
      <c r="CG401" s="834"/>
      <c r="CH401" s="834"/>
      <c r="CI401" s="834"/>
      <c r="CJ401" s="834"/>
      <c r="CK401" s="834"/>
      <c r="CL401" s="834"/>
      <c r="CM401" s="834"/>
      <c r="CN401" s="834"/>
      <c r="CO401" s="834"/>
      <c r="CP401" s="834"/>
      <c r="CQ401" s="834"/>
      <c r="CR401" s="834"/>
      <c r="CS401" s="834"/>
      <c r="CT401" s="834"/>
      <c r="CU401" s="834"/>
      <c r="CV401" s="834"/>
      <c r="CW401" s="834"/>
      <c r="CX401" s="834"/>
      <c r="CY401" s="834"/>
      <c r="CZ401" s="834"/>
      <c r="DA401" s="834"/>
      <c r="DB401" s="834"/>
      <c r="DC401" s="834"/>
      <c r="DD401" s="834"/>
      <c r="DE401" s="834"/>
      <c r="DF401" s="834"/>
      <c r="DG401" s="834"/>
      <c r="DH401" s="834"/>
      <c r="DI401" s="834"/>
      <c r="DJ401" s="834"/>
      <c r="DK401" s="834"/>
      <c r="DL401" s="834"/>
      <c r="DM401" s="834"/>
      <c r="DN401" s="834"/>
      <c r="DO401" s="834"/>
      <c r="DP401" s="834"/>
      <c r="DQ401" s="834"/>
      <c r="DR401" s="834"/>
      <c r="DS401" s="834"/>
      <c r="DT401" s="834"/>
      <c r="DU401" s="834"/>
      <c r="DV401" s="834"/>
      <c r="DW401" s="834"/>
      <c r="DX401" s="834"/>
      <c r="DY401" s="834"/>
      <c r="DZ401" s="834"/>
      <c r="EA401" s="834"/>
      <c r="EB401" s="834"/>
      <c r="EC401" s="834"/>
      <c r="ED401" s="834"/>
      <c r="EE401" s="834"/>
      <c r="EF401" s="834"/>
      <c r="EG401" s="834"/>
      <c r="EH401" s="834"/>
      <c r="EI401" s="834"/>
      <c r="EJ401" s="834"/>
      <c r="EK401" s="834"/>
      <c r="EL401" s="834"/>
      <c r="EM401" s="834"/>
      <c r="EN401" s="834"/>
      <c r="EO401" s="834"/>
      <c r="EP401" s="834"/>
      <c r="EQ401" s="834"/>
      <c r="ER401" s="834"/>
      <c r="ES401" s="834"/>
      <c r="ET401" s="834"/>
      <c r="EU401" s="834"/>
      <c r="EV401" s="834"/>
      <c r="EW401" s="834"/>
      <c r="EX401" s="834"/>
      <c r="EY401" s="834"/>
      <c r="EZ401" s="834"/>
      <c r="FA401" s="834"/>
      <c r="FB401" s="834"/>
      <c r="FC401" s="834"/>
      <c r="FD401" s="834"/>
      <c r="FE401" s="834"/>
      <c r="FF401" s="834"/>
      <c r="FG401" s="834"/>
      <c r="FH401" s="834"/>
      <c r="FI401" s="834"/>
      <c r="FJ401" s="834"/>
      <c r="FK401" s="834"/>
      <c r="FL401" s="834"/>
      <c r="FM401" s="834"/>
      <c r="FN401" s="834"/>
      <c r="FO401" s="834"/>
      <c r="FP401" s="834"/>
      <c r="FQ401" s="834"/>
      <c r="FR401" s="834"/>
      <c r="FS401" s="834"/>
      <c r="FT401" s="834"/>
      <c r="FU401" s="834"/>
      <c r="FV401" s="834"/>
      <c r="FW401" s="834"/>
      <c r="FX401" s="834"/>
      <c r="FY401" s="834"/>
      <c r="FZ401" s="834"/>
      <c r="GA401" s="834"/>
      <c r="GB401" s="834"/>
      <c r="GC401" s="834"/>
      <c r="GD401" s="834"/>
      <c r="GE401" s="834"/>
      <c r="GF401" s="834"/>
      <c r="GG401" s="834"/>
      <c r="GH401" s="834"/>
      <c r="GI401" s="834"/>
      <c r="GJ401" s="834"/>
      <c r="GK401" s="834"/>
      <c r="GL401" s="834"/>
      <c r="GM401" s="834"/>
      <c r="GN401" s="834"/>
      <c r="GO401" s="834"/>
      <c r="GP401" s="834"/>
      <c r="GQ401" s="834"/>
      <c r="GR401" s="834"/>
      <c r="GS401" s="834"/>
      <c r="GT401" s="834"/>
      <c r="GU401" s="834"/>
      <c r="GV401" s="834"/>
      <c r="GW401" s="834"/>
      <c r="GX401" s="834"/>
      <c r="GY401" s="834"/>
      <c r="GZ401" s="834"/>
      <c r="HA401" s="834"/>
      <c r="HB401" s="834"/>
      <c r="HC401" s="834"/>
      <c r="HD401" s="834"/>
      <c r="HE401" s="834"/>
      <c r="HF401" s="834"/>
      <c r="HG401" s="834"/>
      <c r="HH401" s="834"/>
      <c r="HI401" s="834"/>
      <c r="HJ401" s="834"/>
      <c r="HK401" s="834"/>
      <c r="HL401" s="834"/>
      <c r="HM401" s="834"/>
      <c r="HN401" s="834"/>
      <c r="HO401" s="834"/>
      <c r="HP401" s="834"/>
      <c r="HQ401" s="834"/>
      <c r="HR401" s="834"/>
      <c r="HS401" s="834"/>
      <c r="HT401" s="834"/>
      <c r="HU401" s="834"/>
      <c r="HV401" s="834"/>
      <c r="HW401" s="834"/>
      <c r="HX401" s="834"/>
      <c r="HY401" s="834"/>
      <c r="HZ401" s="834"/>
      <c r="IA401" s="834"/>
      <c r="IB401" s="834"/>
      <c r="IC401" s="834"/>
      <c r="ID401" s="834"/>
      <c r="IE401" s="834"/>
      <c r="IF401" s="834"/>
      <c r="IG401" s="834"/>
      <c r="IH401" s="834"/>
      <c r="II401" s="834"/>
      <c r="IJ401" s="834"/>
      <c r="IK401" s="834"/>
      <c r="IL401" s="834"/>
      <c r="IM401" s="834"/>
      <c r="IN401" s="834"/>
      <c r="IO401" s="834"/>
      <c r="IP401" s="834"/>
      <c r="IQ401" s="834"/>
      <c r="IR401" s="834"/>
      <c r="IS401" s="834"/>
      <c r="IT401" s="834"/>
      <c r="IU401" s="834"/>
      <c r="IV401" s="834"/>
      <c r="IW401" s="834"/>
      <c r="IX401" s="834"/>
      <c r="IY401" s="834"/>
      <c r="IZ401" s="834"/>
      <c r="JA401" s="834"/>
      <c r="JB401" s="834"/>
      <c r="JC401" s="834"/>
      <c r="JD401" s="834"/>
      <c r="JE401" s="834"/>
      <c r="JF401" s="834"/>
      <c r="JG401" s="834"/>
      <c r="JH401" s="834"/>
      <c r="JI401" s="834"/>
      <c r="JJ401" s="834"/>
      <c r="JK401" s="834"/>
      <c r="JL401" s="834"/>
      <c r="JM401" s="834"/>
      <c r="JN401" s="834"/>
      <c r="JO401" s="834"/>
      <c r="JP401" s="834"/>
      <c r="JQ401" s="834"/>
      <c r="JR401" s="834"/>
      <c r="JS401" s="834"/>
      <c r="JT401" s="834"/>
      <c r="JU401" s="834"/>
      <c r="JV401" s="834"/>
      <c r="JW401" s="834"/>
      <c r="JX401" s="834"/>
      <c r="JY401" s="834"/>
      <c r="JZ401" s="834"/>
      <c r="KA401" s="834"/>
      <c r="KB401" s="834"/>
      <c r="KC401" s="834"/>
      <c r="KD401" s="834"/>
      <c r="KE401" s="834"/>
      <c r="KF401" s="834"/>
      <c r="KG401" s="834"/>
      <c r="KH401" s="834"/>
      <c r="KI401" s="834"/>
      <c r="KJ401" s="834"/>
      <c r="KK401" s="834"/>
      <c r="KL401" s="834"/>
      <c r="KM401" s="834"/>
      <c r="KN401" s="834"/>
      <c r="KO401" s="834"/>
      <c r="KP401" s="834"/>
      <c r="KQ401" s="834"/>
      <c r="KR401" s="834"/>
      <c r="KS401" s="834"/>
      <c r="KT401" s="834"/>
      <c r="KU401" s="834"/>
      <c r="KV401" s="834"/>
      <c r="KW401" s="834"/>
      <c r="KX401" s="834"/>
      <c r="KY401" s="834"/>
      <c r="KZ401" s="834"/>
      <c r="LA401" s="834"/>
      <c r="LB401" s="834"/>
      <c r="LC401" s="834"/>
      <c r="LD401" s="834"/>
      <c r="LE401" s="834"/>
      <c r="LF401" s="834"/>
      <c r="LG401" s="834"/>
      <c r="LH401" s="834"/>
      <c r="LI401" s="834"/>
      <c r="LJ401" s="834"/>
      <c r="LK401" s="834"/>
      <c r="LL401" s="834"/>
      <c r="LM401" s="834"/>
      <c r="LN401" s="834"/>
      <c r="LO401" s="834"/>
      <c r="LP401" s="834"/>
      <c r="LQ401" s="834"/>
      <c r="LR401" s="834"/>
      <c r="LS401" s="834"/>
      <c r="LT401" s="834"/>
      <c r="LU401" s="834"/>
      <c r="LV401" s="834"/>
      <c r="LW401" s="834"/>
      <c r="LX401" s="834"/>
      <c r="LY401" s="834"/>
      <c r="LZ401" s="834"/>
      <c r="MA401" s="834"/>
      <c r="MB401" s="834"/>
      <c r="MC401" s="834"/>
      <c r="MD401" s="834"/>
      <c r="ME401" s="834"/>
      <c r="MF401" s="834"/>
      <c r="MG401" s="834"/>
      <c r="MH401" s="834"/>
      <c r="MI401" s="834"/>
      <c r="MJ401" s="834"/>
      <c r="MK401" s="834"/>
      <c r="ML401" s="834"/>
      <c r="MM401" s="834"/>
      <c r="MN401" s="834"/>
      <c r="MO401" s="834"/>
      <c r="MP401" s="834"/>
      <c r="MQ401" s="834"/>
      <c r="MR401" s="834"/>
      <c r="MS401" s="834"/>
      <c r="MT401" s="834"/>
      <c r="MU401" s="834"/>
      <c r="MV401" s="834"/>
      <c r="MW401" s="834"/>
      <c r="MX401" s="834"/>
      <c r="MY401" s="834"/>
      <c r="MZ401" s="834"/>
      <c r="NA401" s="834"/>
      <c r="NB401" s="834"/>
      <c r="NC401" s="834"/>
      <c r="ND401" s="834"/>
      <c r="NE401" s="834"/>
      <c r="NF401" s="834"/>
      <c r="NG401" s="834"/>
      <c r="NH401" s="834"/>
      <c r="NI401" s="834"/>
      <c r="NJ401" s="834"/>
      <c r="NK401" s="834"/>
      <c r="NL401" s="834"/>
      <c r="NM401" s="834"/>
      <c r="NN401" s="834"/>
      <c r="NO401" s="834"/>
      <c r="NP401" s="834"/>
      <c r="NQ401" s="834"/>
      <c r="NR401" s="834"/>
      <c r="NS401" s="834"/>
      <c r="NT401" s="834"/>
      <c r="NU401" s="834"/>
      <c r="NV401" s="834"/>
      <c r="NW401" s="834"/>
      <c r="NX401" s="834"/>
      <c r="NY401" s="834"/>
      <c r="NZ401" s="834"/>
      <c r="OA401" s="834"/>
      <c r="OB401" s="834"/>
      <c r="OC401" s="834"/>
      <c r="OD401" s="834"/>
      <c r="OE401" s="834"/>
      <c r="OF401" s="834"/>
      <c r="OG401" s="834"/>
      <c r="OH401" s="834"/>
      <c r="OI401" s="834"/>
      <c r="OJ401" s="834"/>
      <c r="OK401" s="834"/>
      <c r="OL401" s="834"/>
      <c r="OM401" s="834"/>
      <c r="ON401" s="834"/>
      <c r="OO401" s="834"/>
      <c r="OP401" s="834"/>
      <c r="OQ401" s="834"/>
      <c r="OR401" s="834"/>
      <c r="OS401" s="834"/>
      <c r="OT401" s="834"/>
      <c r="OU401" s="834"/>
      <c r="OV401" s="834"/>
      <c r="OW401" s="834"/>
      <c r="OX401" s="834"/>
      <c r="OY401" s="834"/>
      <c r="OZ401" s="834"/>
      <c r="PA401" s="834"/>
      <c r="PB401" s="834"/>
      <c r="PC401" s="834"/>
      <c r="PD401" s="834"/>
      <c r="PE401" s="834"/>
      <c r="PF401" s="834"/>
      <c r="PG401" s="834"/>
      <c r="PH401" s="834"/>
      <c r="PI401" s="834"/>
      <c r="PJ401" s="834"/>
      <c r="PK401" s="834"/>
      <c r="PL401" s="834"/>
      <c r="PM401" s="834"/>
      <c r="PN401" s="834"/>
      <c r="PO401" s="834"/>
      <c r="PP401" s="834"/>
      <c r="PQ401" s="834"/>
      <c r="PR401" s="834"/>
      <c r="PS401" s="834"/>
      <c r="PT401" s="834"/>
      <c r="PU401" s="834"/>
      <c r="PV401" s="834"/>
      <c r="PW401" s="834"/>
      <c r="PX401" s="834"/>
      <c r="PY401" s="834"/>
      <c r="PZ401" s="834"/>
      <c r="QA401" s="834"/>
      <c r="QB401" s="834"/>
      <c r="QC401" s="834"/>
      <c r="QD401" s="834"/>
      <c r="QE401" s="834"/>
      <c r="QF401" s="834"/>
      <c r="QG401" s="834"/>
      <c r="QH401" s="834"/>
      <c r="QI401" s="834"/>
      <c r="QJ401" s="834"/>
      <c r="QK401" s="834"/>
      <c r="QL401" s="834"/>
      <c r="QM401" s="834"/>
      <c r="QN401" s="834"/>
      <c r="QO401" s="834"/>
      <c r="QP401" s="834"/>
      <c r="QQ401" s="834"/>
      <c r="QR401" s="834"/>
      <c r="QS401" s="834"/>
      <c r="QT401" s="834"/>
      <c r="QU401" s="834"/>
      <c r="QV401" s="834"/>
      <c r="QW401" s="834"/>
      <c r="QX401" s="834"/>
      <c r="QY401" s="834"/>
      <c r="QZ401" s="834"/>
      <c r="RA401" s="834"/>
      <c r="RB401" s="834"/>
      <c r="RC401" s="834"/>
      <c r="RD401" s="834"/>
      <c r="RE401" s="834"/>
      <c r="RF401" s="834"/>
      <c r="RG401" s="834"/>
      <c r="RH401" s="834"/>
      <c r="RI401" s="834"/>
      <c r="RJ401" s="834"/>
      <c r="RK401" s="834"/>
      <c r="RL401" s="834"/>
      <c r="RM401" s="834"/>
      <c r="RN401" s="834"/>
      <c r="RO401" s="834"/>
      <c r="RP401" s="834"/>
      <c r="RQ401" s="834"/>
      <c r="RR401" s="834"/>
      <c r="RS401" s="834"/>
      <c r="RT401" s="834"/>
      <c r="RU401" s="834"/>
      <c r="RV401" s="834"/>
      <c r="RW401" s="834"/>
      <c r="RX401" s="834"/>
      <c r="RY401" s="834"/>
      <c r="RZ401" s="834"/>
      <c r="SA401" s="834"/>
      <c r="SB401" s="834"/>
      <c r="SC401" s="834"/>
      <c r="SD401" s="834"/>
      <c r="SE401" s="834"/>
      <c r="SF401" s="834"/>
      <c r="SG401" s="834"/>
      <c r="SH401" s="834"/>
      <c r="SI401" s="834"/>
      <c r="SJ401" s="834"/>
      <c r="SK401" s="834"/>
      <c r="SL401" s="834"/>
      <c r="SM401" s="834"/>
      <c r="SN401" s="834"/>
      <c r="SO401" s="834"/>
      <c r="SP401" s="834"/>
      <c r="SQ401" s="834"/>
      <c r="SR401" s="834"/>
      <c r="SS401" s="834"/>
      <c r="ST401" s="834"/>
      <c r="SU401" s="834"/>
      <c r="SV401" s="834"/>
      <c r="SW401" s="834"/>
      <c r="SX401" s="834"/>
      <c r="SY401" s="834"/>
      <c r="SZ401" s="834"/>
      <c r="TA401" s="834"/>
      <c r="TB401" s="834"/>
      <c r="TC401" s="834"/>
      <c r="TD401" s="834"/>
      <c r="TE401" s="834"/>
      <c r="TF401" s="834"/>
      <c r="TG401" s="834"/>
      <c r="TH401" s="834"/>
      <c r="TI401" s="834"/>
      <c r="TJ401" s="834"/>
      <c r="TK401" s="834"/>
      <c r="TL401" s="834"/>
      <c r="TM401" s="834"/>
      <c r="TN401" s="834"/>
      <c r="TO401" s="834"/>
      <c r="TP401" s="834"/>
      <c r="TQ401" s="834"/>
      <c r="TR401" s="834"/>
      <c r="TS401" s="834"/>
      <c r="TT401" s="834"/>
      <c r="TU401" s="834"/>
      <c r="TV401" s="834"/>
      <c r="TW401" s="834"/>
      <c r="TX401" s="834"/>
      <c r="TY401" s="834"/>
      <c r="TZ401" s="834"/>
      <c r="UA401" s="834"/>
      <c r="UB401" s="834"/>
      <c r="UC401" s="834"/>
      <c r="UD401" s="834"/>
      <c r="UE401" s="834"/>
      <c r="UF401" s="834"/>
      <c r="UG401" s="834"/>
      <c r="UH401" s="834"/>
      <c r="UI401" s="834"/>
      <c r="UJ401" s="834"/>
      <c r="UK401" s="834"/>
      <c r="UL401" s="834"/>
      <c r="UM401" s="834"/>
      <c r="UN401" s="834"/>
      <c r="UO401" s="834"/>
      <c r="UP401" s="834"/>
      <c r="UQ401" s="834"/>
      <c r="UR401" s="834"/>
      <c r="US401" s="834"/>
      <c r="UT401" s="834"/>
      <c r="UU401" s="834"/>
      <c r="UV401" s="834"/>
      <c r="UW401" s="834"/>
      <c r="UX401" s="834"/>
      <c r="UY401" s="834"/>
      <c r="UZ401" s="834"/>
      <c r="VA401" s="834"/>
      <c r="VB401" s="834"/>
      <c r="VC401" s="834"/>
      <c r="VD401" s="834"/>
      <c r="VE401" s="834"/>
      <c r="VF401" s="834"/>
      <c r="VG401" s="834"/>
      <c r="VH401" s="834"/>
      <c r="VI401" s="834"/>
      <c r="VJ401" s="834"/>
      <c r="VK401" s="834"/>
      <c r="VL401" s="834"/>
      <c r="VM401" s="834"/>
      <c r="VN401" s="834"/>
      <c r="VO401" s="834"/>
      <c r="VP401" s="834"/>
      <c r="VQ401" s="834"/>
      <c r="VR401" s="834"/>
      <c r="VS401" s="834"/>
      <c r="VT401" s="834"/>
      <c r="VU401" s="834"/>
      <c r="VV401" s="834"/>
      <c r="VW401" s="834"/>
      <c r="VX401" s="834"/>
      <c r="VY401" s="834"/>
      <c r="VZ401" s="834"/>
      <c r="WA401" s="834"/>
      <c r="WB401" s="834"/>
      <c r="WC401" s="834"/>
      <c r="WD401" s="834"/>
      <c r="WE401" s="834"/>
      <c r="WF401" s="834"/>
      <c r="WG401" s="834"/>
      <c r="WH401" s="834"/>
      <c r="WI401" s="834"/>
      <c r="WJ401" s="834"/>
      <c r="WK401" s="834"/>
      <c r="WL401" s="834"/>
      <c r="WM401" s="834"/>
      <c r="WN401" s="834"/>
      <c r="WO401" s="834"/>
      <c r="WP401" s="834"/>
      <c r="WQ401" s="834"/>
      <c r="WR401" s="834"/>
      <c r="WS401" s="834"/>
      <c r="WT401" s="834"/>
      <c r="WU401" s="834"/>
      <c r="WV401" s="834"/>
      <c r="WW401" s="834"/>
      <c r="WX401" s="834"/>
      <c r="WY401" s="834"/>
      <c r="WZ401" s="834"/>
      <c r="XA401" s="834"/>
      <c r="XB401" s="834"/>
      <c r="XC401" s="834"/>
      <c r="XD401" s="834"/>
      <c r="XE401" s="834"/>
      <c r="XF401" s="834"/>
      <c r="XG401" s="834"/>
      <c r="XH401" s="834"/>
      <c r="XI401" s="834"/>
      <c r="XJ401" s="834"/>
      <c r="XK401" s="834"/>
      <c r="XL401" s="834"/>
      <c r="XM401" s="834"/>
      <c r="XN401" s="834"/>
      <c r="XO401" s="834"/>
      <c r="XP401" s="834"/>
      <c r="XQ401" s="834"/>
      <c r="XR401" s="834"/>
      <c r="XS401" s="834"/>
      <c r="XT401" s="834"/>
      <c r="XU401" s="834"/>
      <c r="XV401" s="834"/>
      <c r="XW401" s="834"/>
      <c r="XX401" s="834"/>
      <c r="XY401" s="834"/>
      <c r="XZ401" s="834"/>
      <c r="YA401" s="834"/>
      <c r="YB401" s="834"/>
      <c r="YC401" s="834"/>
      <c r="YD401" s="834"/>
      <c r="YE401" s="834"/>
      <c r="YF401" s="834"/>
      <c r="YG401" s="834"/>
      <c r="YH401" s="834"/>
      <c r="YI401" s="834"/>
      <c r="YJ401" s="834"/>
      <c r="YK401" s="834"/>
      <c r="YL401" s="834"/>
      <c r="YM401" s="834"/>
      <c r="YN401" s="834"/>
      <c r="YO401" s="834"/>
      <c r="YP401" s="834"/>
      <c r="YQ401" s="834"/>
      <c r="YR401" s="834"/>
      <c r="YS401" s="834"/>
      <c r="YT401" s="834"/>
      <c r="YU401" s="834"/>
      <c r="YV401" s="834"/>
      <c r="YW401" s="834"/>
      <c r="YX401" s="834"/>
      <c r="YY401" s="834"/>
      <c r="YZ401" s="834"/>
      <c r="ZA401" s="834"/>
      <c r="ZB401" s="834"/>
      <c r="ZC401" s="834"/>
      <c r="ZD401" s="834"/>
      <c r="ZE401" s="834"/>
      <c r="ZF401" s="834"/>
      <c r="ZG401" s="834"/>
      <c r="ZH401" s="834"/>
      <c r="ZI401" s="834"/>
      <c r="ZJ401" s="834"/>
      <c r="ZK401" s="834"/>
      <c r="ZL401" s="834"/>
      <c r="ZM401" s="834"/>
      <c r="ZN401" s="834"/>
      <c r="ZO401" s="834"/>
      <c r="ZP401" s="834"/>
      <c r="ZQ401" s="834"/>
      <c r="ZR401" s="834"/>
      <c r="ZS401" s="834"/>
      <c r="ZT401" s="834"/>
      <c r="ZU401" s="834"/>
      <c r="ZV401" s="834"/>
      <c r="ZW401" s="834"/>
      <c r="ZX401" s="834"/>
      <c r="ZY401" s="834"/>
      <c r="ZZ401" s="834"/>
      <c r="AAA401" s="834"/>
      <c r="AAB401" s="834"/>
      <c r="AAC401" s="834"/>
      <c r="AAD401" s="834"/>
      <c r="AAE401" s="834"/>
      <c r="AAF401" s="834"/>
      <c r="AAG401" s="834"/>
      <c r="AAH401" s="834"/>
      <c r="AAI401" s="834"/>
      <c r="AAJ401" s="834"/>
      <c r="AAK401" s="834"/>
      <c r="AAL401" s="834"/>
      <c r="AAM401" s="834"/>
      <c r="AAN401" s="834"/>
      <c r="AAO401" s="834"/>
      <c r="AAP401" s="834"/>
      <c r="AAQ401" s="834"/>
      <c r="AAR401" s="834"/>
      <c r="AAS401" s="834"/>
      <c r="AAT401" s="834"/>
      <c r="AAU401" s="834"/>
      <c r="AAV401" s="834"/>
      <c r="AAW401" s="834"/>
      <c r="AAX401" s="834"/>
      <c r="AAY401" s="834"/>
      <c r="AAZ401" s="834"/>
      <c r="ABA401" s="834"/>
      <c r="ABB401" s="834"/>
      <c r="ABC401" s="834"/>
      <c r="ABD401" s="834"/>
      <c r="ABE401" s="834"/>
      <c r="ABF401" s="834"/>
      <c r="ABG401" s="834"/>
      <c r="ABH401" s="834"/>
      <c r="ABI401" s="834"/>
      <c r="ABJ401" s="834"/>
      <c r="ABK401" s="834"/>
      <c r="ABL401" s="834"/>
      <c r="ABM401" s="834"/>
      <c r="ABN401" s="834"/>
      <c r="ABO401" s="834"/>
      <c r="ABP401" s="834"/>
      <c r="ABQ401" s="834"/>
      <c r="ABR401" s="834"/>
      <c r="ABS401" s="834"/>
      <c r="ABT401" s="834"/>
      <c r="ABU401" s="834"/>
      <c r="ABV401" s="834"/>
      <c r="ABW401" s="834"/>
      <c r="ABX401" s="834"/>
      <c r="ABY401" s="834"/>
      <c r="ABZ401" s="834"/>
      <c r="ACA401" s="834"/>
      <c r="ACB401" s="834"/>
      <c r="ACC401" s="834"/>
      <c r="ACD401" s="834"/>
      <c r="ACE401" s="834"/>
      <c r="ACF401" s="834"/>
      <c r="ACG401" s="834"/>
      <c r="ACH401" s="834"/>
      <c r="ACI401" s="834"/>
      <c r="ACJ401" s="834"/>
      <c r="ACK401" s="834"/>
      <c r="ACL401" s="834"/>
      <c r="ACM401" s="834"/>
      <c r="ACN401" s="834"/>
      <c r="ACO401" s="834"/>
      <c r="ACP401" s="834"/>
      <c r="ACQ401" s="834"/>
      <c r="ACR401" s="834"/>
      <c r="ACS401" s="834"/>
      <c r="ACT401" s="834"/>
      <c r="ACU401" s="834"/>
      <c r="ACV401" s="834"/>
      <c r="ACW401" s="834"/>
      <c r="ACX401" s="834"/>
      <c r="ACY401" s="834"/>
      <c r="ACZ401" s="834"/>
      <c r="ADA401" s="834"/>
      <c r="ADB401" s="834"/>
      <c r="ADC401" s="834"/>
      <c r="ADD401" s="834"/>
      <c r="ADE401" s="834"/>
      <c r="ADF401" s="834"/>
      <c r="ADG401" s="834"/>
      <c r="ADH401" s="834"/>
      <c r="ADI401" s="834"/>
      <c r="ADJ401" s="834"/>
      <c r="ADK401" s="834"/>
      <c r="ADL401" s="834"/>
      <c r="ADM401" s="834"/>
      <c r="ADN401" s="834"/>
      <c r="ADO401" s="834"/>
      <c r="ADP401" s="834"/>
      <c r="ADQ401" s="834"/>
      <c r="ADR401" s="834"/>
      <c r="ADS401" s="834"/>
      <c r="ADT401" s="834"/>
      <c r="ADU401" s="834"/>
      <c r="ADV401" s="834"/>
      <c r="ADW401" s="834"/>
      <c r="ADX401" s="834"/>
      <c r="ADY401" s="834"/>
      <c r="ADZ401" s="834"/>
      <c r="AEA401" s="834"/>
      <c r="AEB401" s="834"/>
      <c r="AEC401" s="834"/>
      <c r="AED401" s="834"/>
      <c r="AEE401" s="834"/>
      <c r="AEF401" s="834"/>
      <c r="AEG401" s="834"/>
      <c r="AEH401" s="834"/>
      <c r="AEI401" s="834"/>
      <c r="AEJ401" s="834"/>
      <c r="AEK401" s="834"/>
      <c r="AEL401" s="834"/>
      <c r="AEM401" s="834"/>
      <c r="AEN401" s="834"/>
      <c r="AEO401" s="834"/>
      <c r="AEP401" s="834"/>
      <c r="AEQ401" s="834"/>
      <c r="AER401" s="834"/>
      <c r="AES401" s="834"/>
      <c r="AET401" s="834"/>
      <c r="AEU401" s="834"/>
      <c r="AEV401" s="834"/>
      <c r="AEW401" s="834"/>
      <c r="AEX401" s="834"/>
      <c r="AEY401" s="834"/>
      <c r="AEZ401" s="834"/>
      <c r="AFA401" s="834"/>
      <c r="AFB401" s="834"/>
      <c r="AFC401" s="834"/>
      <c r="AFD401" s="834"/>
      <c r="AFE401" s="834"/>
      <c r="AFF401" s="834"/>
      <c r="AFG401" s="834"/>
      <c r="AFH401" s="834"/>
      <c r="AFI401" s="834"/>
      <c r="AFJ401" s="834"/>
      <c r="AFK401" s="834"/>
      <c r="AFL401" s="834"/>
      <c r="AFM401" s="834"/>
      <c r="AFN401" s="834"/>
      <c r="AFO401" s="834"/>
      <c r="AFP401" s="834"/>
      <c r="AFQ401" s="834"/>
      <c r="AFR401" s="834"/>
      <c r="AFS401" s="834"/>
      <c r="AFT401" s="834"/>
      <c r="AFU401" s="834"/>
      <c r="AFV401" s="834"/>
      <c r="AFW401" s="834"/>
      <c r="AFX401" s="834"/>
      <c r="AFY401" s="834"/>
      <c r="AFZ401" s="834"/>
      <c r="AGA401" s="834"/>
      <c r="AGB401" s="834"/>
      <c r="AGC401" s="834"/>
      <c r="AGD401" s="834"/>
      <c r="AGE401" s="834"/>
      <c r="AGF401" s="834"/>
      <c r="AGG401" s="834"/>
      <c r="AGH401" s="834"/>
      <c r="AGI401" s="834"/>
      <c r="AGJ401" s="834"/>
      <c r="AGK401" s="834"/>
      <c r="AGL401" s="834"/>
      <c r="AGM401" s="834"/>
      <c r="AGN401" s="834"/>
      <c r="AGO401" s="834"/>
      <c r="AGP401" s="834"/>
      <c r="AGQ401" s="834"/>
      <c r="AGR401" s="834"/>
      <c r="AGS401" s="834"/>
      <c r="AGT401" s="834"/>
      <c r="AGU401" s="834"/>
      <c r="AGV401" s="834"/>
      <c r="AGW401" s="834"/>
      <c r="AGX401" s="834"/>
      <c r="AGY401" s="834"/>
      <c r="AGZ401" s="834"/>
      <c r="AHA401" s="834"/>
      <c r="AHB401" s="834"/>
      <c r="AHC401" s="834"/>
      <c r="AHD401" s="834"/>
      <c r="AHE401" s="834"/>
      <c r="AHF401" s="834"/>
      <c r="AHG401" s="834"/>
      <c r="AHH401" s="834"/>
      <c r="AHI401" s="834"/>
      <c r="AHJ401" s="834"/>
      <c r="AHK401" s="834"/>
      <c r="AHL401" s="834"/>
      <c r="AHM401" s="834"/>
      <c r="AHN401" s="834"/>
      <c r="AHO401" s="834"/>
      <c r="AHP401" s="834"/>
      <c r="AHQ401" s="834"/>
      <c r="AHR401" s="834"/>
      <c r="AHS401" s="834"/>
      <c r="AHT401" s="834"/>
      <c r="AHU401" s="834"/>
      <c r="AHV401" s="834"/>
      <c r="AHW401" s="834"/>
      <c r="AHX401" s="834"/>
      <c r="AHY401" s="834"/>
      <c r="AHZ401" s="834"/>
      <c r="AIA401" s="834"/>
      <c r="AIB401" s="834"/>
      <c r="AIC401" s="834"/>
      <c r="AID401" s="834"/>
      <c r="AIE401" s="834"/>
      <c r="AIF401" s="834"/>
      <c r="AIG401" s="834"/>
      <c r="AIH401" s="834"/>
      <c r="AII401" s="834"/>
      <c r="AIJ401" s="834"/>
      <c r="AIK401" s="834"/>
      <c r="AIL401" s="834"/>
      <c r="AIM401" s="834"/>
      <c r="AIN401" s="834"/>
      <c r="AIO401" s="834"/>
      <c r="AIP401" s="834"/>
      <c r="AIQ401" s="834"/>
      <c r="AIR401" s="834"/>
      <c r="AIS401" s="834"/>
      <c r="AIT401" s="834"/>
      <c r="AIU401" s="834"/>
      <c r="AIV401" s="834"/>
      <c r="AIW401" s="834"/>
      <c r="AIX401" s="834"/>
      <c r="AIY401" s="834"/>
      <c r="AIZ401" s="834"/>
      <c r="AJA401" s="834"/>
      <c r="AJB401" s="834"/>
      <c r="AJC401" s="834"/>
      <c r="AJD401" s="834"/>
      <c r="AJE401" s="834"/>
      <c r="AJF401" s="834"/>
      <c r="AJG401" s="834"/>
      <c r="AJH401" s="834"/>
      <c r="AJI401" s="834"/>
      <c r="AJJ401" s="834"/>
      <c r="AJK401" s="834"/>
      <c r="AJL401" s="834"/>
      <c r="AJM401" s="834"/>
      <c r="AJN401" s="834"/>
      <c r="AJO401" s="834"/>
      <c r="AJP401" s="834"/>
      <c r="AJQ401" s="834"/>
      <c r="AJR401" s="834"/>
      <c r="AJS401" s="834"/>
      <c r="AJT401" s="834"/>
      <c r="AJU401" s="834"/>
      <c r="AJV401" s="834"/>
      <c r="AJW401" s="834"/>
      <c r="AJX401" s="834"/>
      <c r="AJY401" s="834"/>
      <c r="AJZ401" s="834"/>
      <c r="AKA401" s="834"/>
      <c r="AKB401" s="834"/>
      <c r="AKC401" s="834"/>
      <c r="AKD401" s="834"/>
      <c r="AKE401" s="834"/>
      <c r="AKF401" s="834"/>
      <c r="AKG401" s="834"/>
      <c r="AKH401" s="834"/>
      <c r="AKI401" s="834"/>
      <c r="AKJ401" s="834"/>
      <c r="AKK401" s="834"/>
      <c r="AKL401" s="834"/>
      <c r="AKM401" s="834"/>
      <c r="AKN401" s="834"/>
      <c r="AKO401" s="834"/>
      <c r="AKP401" s="834"/>
      <c r="AKQ401" s="834"/>
      <c r="AKR401" s="834"/>
      <c r="AKS401" s="834"/>
      <c r="AKT401" s="834"/>
      <c r="AKU401" s="834"/>
      <c r="AKV401" s="834"/>
      <c r="AKW401" s="834"/>
      <c r="AKX401" s="834"/>
      <c r="AKY401" s="834"/>
      <c r="AKZ401" s="834"/>
      <c r="ALA401" s="834"/>
      <c r="ALB401" s="834"/>
      <c r="ALC401" s="834"/>
      <c r="ALD401" s="834"/>
      <c r="ALE401" s="834"/>
      <c r="ALF401" s="834"/>
      <c r="ALG401" s="834"/>
      <c r="ALH401" s="834"/>
      <c r="ALI401" s="834"/>
      <c r="ALJ401" s="834"/>
      <c r="ALK401" s="834"/>
      <c r="ALL401" s="834"/>
      <c r="ALM401" s="834"/>
      <c r="ALN401" s="834"/>
      <c r="ALO401" s="834"/>
      <c r="ALP401" s="834"/>
      <c r="ALQ401" s="834"/>
      <c r="ALR401" s="834"/>
      <c r="ALS401" s="834"/>
      <c r="ALT401" s="834"/>
      <c r="ALU401" s="834"/>
      <c r="ALV401" s="834"/>
      <c r="ALW401" s="834"/>
      <c r="ALX401" s="834"/>
      <c r="ALY401" s="834"/>
      <c r="ALZ401" s="834"/>
      <c r="AMA401" s="834"/>
      <c r="AMB401" s="834"/>
      <c r="AMC401" s="834"/>
      <c r="AMD401" s="834"/>
      <c r="AME401" s="834"/>
      <c r="AMF401" s="834"/>
      <c r="AMG401" s="834"/>
      <c r="AMH401" s="834"/>
      <c r="AMI401" s="834"/>
      <c r="AMJ401" s="834"/>
      <c r="AMK401" s="834"/>
      <c r="AML401" s="834"/>
    </row>
    <row r="402" spans="1:1026" s="826" customFormat="1" ht="24.95" customHeight="1" outlineLevel="1">
      <c r="A402" s="900"/>
      <c r="B402" s="901" t="s">
        <v>1052</v>
      </c>
      <c r="C402" s="901"/>
      <c r="D402" s="441" t="s">
        <v>1053</v>
      </c>
      <c r="E402" s="418"/>
      <c r="F402" s="967"/>
      <c r="G402" s="908"/>
      <c r="H402" s="905"/>
      <c r="I402" s="900"/>
      <c r="J402" s="917"/>
      <c r="K402" s="918"/>
      <c r="L402" s="834"/>
      <c r="M402" s="834"/>
      <c r="N402" s="834"/>
      <c r="O402" s="834"/>
      <c r="P402" s="834"/>
      <c r="Q402" s="834"/>
      <c r="R402" s="834"/>
      <c r="S402" s="834"/>
      <c r="T402" s="834"/>
      <c r="U402" s="834"/>
      <c r="V402" s="834"/>
      <c r="W402" s="834"/>
      <c r="X402" s="834"/>
      <c r="Y402" s="834"/>
      <c r="Z402" s="834"/>
      <c r="AA402" s="834"/>
      <c r="AB402" s="834"/>
      <c r="AC402" s="834"/>
      <c r="AD402" s="834"/>
      <c r="AE402" s="834"/>
      <c r="AF402" s="834"/>
      <c r="AG402" s="834"/>
      <c r="AH402" s="834"/>
      <c r="AI402" s="834"/>
      <c r="AJ402" s="834"/>
      <c r="AK402" s="834"/>
      <c r="AL402" s="834"/>
      <c r="AM402" s="834"/>
      <c r="AN402" s="834"/>
      <c r="AO402" s="834"/>
      <c r="AP402" s="834"/>
      <c r="AQ402" s="834"/>
      <c r="AR402" s="834"/>
      <c r="AS402" s="834"/>
      <c r="AT402" s="834"/>
      <c r="AU402" s="834"/>
      <c r="AV402" s="834"/>
      <c r="AW402" s="834"/>
      <c r="AX402" s="834"/>
      <c r="AY402" s="834"/>
      <c r="AZ402" s="834"/>
      <c r="BA402" s="834"/>
      <c r="BB402" s="834"/>
      <c r="BC402" s="834"/>
      <c r="BD402" s="834"/>
      <c r="BE402" s="834"/>
      <c r="BF402" s="834"/>
      <c r="BG402" s="834"/>
      <c r="BH402" s="834"/>
      <c r="BI402" s="834"/>
      <c r="BJ402" s="834"/>
      <c r="BK402" s="834"/>
      <c r="BL402" s="834"/>
      <c r="BM402" s="834"/>
      <c r="BN402" s="834"/>
      <c r="BO402" s="834"/>
      <c r="BP402" s="834"/>
      <c r="BQ402" s="834"/>
      <c r="BR402" s="834"/>
      <c r="BS402" s="834"/>
      <c r="BT402" s="834"/>
      <c r="BU402" s="834"/>
      <c r="BV402" s="834"/>
      <c r="BW402" s="834"/>
      <c r="BX402" s="834"/>
      <c r="BY402" s="834"/>
      <c r="BZ402" s="834"/>
      <c r="CA402" s="834"/>
      <c r="CB402" s="834"/>
      <c r="CC402" s="834"/>
      <c r="CD402" s="834"/>
      <c r="CE402" s="834"/>
      <c r="CF402" s="834"/>
      <c r="CG402" s="834"/>
      <c r="CH402" s="834"/>
      <c r="CI402" s="834"/>
      <c r="CJ402" s="834"/>
      <c r="CK402" s="834"/>
      <c r="CL402" s="834"/>
      <c r="CM402" s="834"/>
      <c r="CN402" s="834"/>
      <c r="CO402" s="834"/>
      <c r="CP402" s="834"/>
      <c r="CQ402" s="834"/>
      <c r="CR402" s="834"/>
      <c r="CS402" s="834"/>
      <c r="CT402" s="834"/>
      <c r="CU402" s="834"/>
      <c r="CV402" s="834"/>
      <c r="CW402" s="834"/>
      <c r="CX402" s="834"/>
      <c r="CY402" s="834"/>
      <c r="CZ402" s="834"/>
      <c r="DA402" s="834"/>
      <c r="DB402" s="834"/>
      <c r="DC402" s="834"/>
      <c r="DD402" s="834"/>
      <c r="DE402" s="834"/>
      <c r="DF402" s="834"/>
      <c r="DG402" s="834"/>
      <c r="DH402" s="834"/>
      <c r="DI402" s="834"/>
      <c r="DJ402" s="834"/>
      <c r="DK402" s="834"/>
      <c r="DL402" s="834"/>
      <c r="DM402" s="834"/>
      <c r="DN402" s="834"/>
      <c r="DO402" s="834"/>
      <c r="DP402" s="834"/>
      <c r="DQ402" s="834"/>
      <c r="DR402" s="834"/>
      <c r="DS402" s="834"/>
      <c r="DT402" s="834"/>
      <c r="DU402" s="834"/>
      <c r="DV402" s="834"/>
      <c r="DW402" s="834"/>
      <c r="DX402" s="834"/>
      <c r="DY402" s="834"/>
      <c r="DZ402" s="834"/>
      <c r="EA402" s="834"/>
      <c r="EB402" s="834"/>
      <c r="EC402" s="834"/>
      <c r="ED402" s="834"/>
      <c r="EE402" s="834"/>
      <c r="EF402" s="834"/>
      <c r="EG402" s="834"/>
      <c r="EH402" s="834"/>
      <c r="EI402" s="834"/>
      <c r="EJ402" s="834"/>
      <c r="EK402" s="834"/>
      <c r="EL402" s="834"/>
      <c r="EM402" s="834"/>
      <c r="EN402" s="834"/>
      <c r="EO402" s="834"/>
      <c r="EP402" s="834"/>
      <c r="EQ402" s="834"/>
      <c r="ER402" s="834"/>
      <c r="ES402" s="834"/>
      <c r="ET402" s="834"/>
      <c r="EU402" s="834"/>
      <c r="EV402" s="834"/>
      <c r="EW402" s="834"/>
      <c r="EX402" s="834"/>
      <c r="EY402" s="834"/>
      <c r="EZ402" s="834"/>
      <c r="FA402" s="834"/>
      <c r="FB402" s="834"/>
      <c r="FC402" s="834"/>
      <c r="FD402" s="834"/>
      <c r="FE402" s="834"/>
      <c r="FF402" s="834"/>
      <c r="FG402" s="834"/>
      <c r="FH402" s="834"/>
      <c r="FI402" s="834"/>
      <c r="FJ402" s="834"/>
      <c r="FK402" s="834"/>
      <c r="FL402" s="834"/>
      <c r="FM402" s="834"/>
      <c r="FN402" s="834"/>
      <c r="FO402" s="834"/>
      <c r="FP402" s="834"/>
      <c r="FQ402" s="834"/>
      <c r="FR402" s="834"/>
      <c r="FS402" s="834"/>
      <c r="FT402" s="834"/>
      <c r="FU402" s="834"/>
      <c r="FV402" s="834"/>
      <c r="FW402" s="834"/>
      <c r="FX402" s="834"/>
      <c r="FY402" s="834"/>
      <c r="FZ402" s="834"/>
      <c r="GA402" s="834"/>
      <c r="GB402" s="834"/>
      <c r="GC402" s="834"/>
      <c r="GD402" s="834"/>
      <c r="GE402" s="834"/>
      <c r="GF402" s="834"/>
      <c r="GG402" s="834"/>
      <c r="GH402" s="834"/>
      <c r="GI402" s="834"/>
      <c r="GJ402" s="834"/>
      <c r="GK402" s="834"/>
      <c r="GL402" s="834"/>
      <c r="GM402" s="834"/>
      <c r="GN402" s="834"/>
      <c r="GO402" s="834"/>
      <c r="GP402" s="834"/>
      <c r="GQ402" s="834"/>
      <c r="GR402" s="834"/>
      <c r="GS402" s="834"/>
      <c r="GT402" s="834"/>
      <c r="GU402" s="834"/>
      <c r="GV402" s="834"/>
      <c r="GW402" s="834"/>
      <c r="GX402" s="834"/>
      <c r="GY402" s="834"/>
      <c r="GZ402" s="834"/>
      <c r="HA402" s="834"/>
      <c r="HB402" s="834"/>
      <c r="HC402" s="834"/>
      <c r="HD402" s="834"/>
      <c r="HE402" s="834"/>
      <c r="HF402" s="834"/>
      <c r="HG402" s="834"/>
      <c r="HH402" s="834"/>
      <c r="HI402" s="834"/>
      <c r="HJ402" s="834"/>
      <c r="HK402" s="834"/>
      <c r="HL402" s="834"/>
      <c r="HM402" s="834"/>
      <c r="HN402" s="834"/>
      <c r="HO402" s="834"/>
      <c r="HP402" s="834"/>
      <c r="HQ402" s="834"/>
      <c r="HR402" s="834"/>
      <c r="HS402" s="834"/>
      <c r="HT402" s="834"/>
      <c r="HU402" s="834"/>
      <c r="HV402" s="834"/>
      <c r="HW402" s="834"/>
      <c r="HX402" s="834"/>
      <c r="HY402" s="834"/>
      <c r="HZ402" s="834"/>
      <c r="IA402" s="834"/>
      <c r="IB402" s="834"/>
      <c r="IC402" s="834"/>
      <c r="ID402" s="834"/>
      <c r="IE402" s="834"/>
      <c r="IF402" s="834"/>
      <c r="IG402" s="834"/>
      <c r="IH402" s="834"/>
      <c r="II402" s="834"/>
      <c r="IJ402" s="834"/>
      <c r="IK402" s="834"/>
      <c r="IL402" s="834"/>
      <c r="IM402" s="834"/>
      <c r="IN402" s="834"/>
      <c r="IO402" s="834"/>
      <c r="IP402" s="834"/>
      <c r="IQ402" s="834"/>
      <c r="IR402" s="834"/>
      <c r="IS402" s="834"/>
      <c r="IT402" s="834"/>
      <c r="IU402" s="834"/>
      <c r="IV402" s="834"/>
      <c r="IW402" s="834"/>
      <c r="IX402" s="834"/>
      <c r="IY402" s="834"/>
      <c r="IZ402" s="834"/>
      <c r="JA402" s="834"/>
      <c r="JB402" s="834"/>
      <c r="JC402" s="834"/>
      <c r="JD402" s="834"/>
      <c r="JE402" s="834"/>
      <c r="JF402" s="834"/>
      <c r="JG402" s="834"/>
      <c r="JH402" s="834"/>
      <c r="JI402" s="834"/>
      <c r="JJ402" s="834"/>
      <c r="JK402" s="834"/>
      <c r="JL402" s="834"/>
      <c r="JM402" s="834"/>
      <c r="JN402" s="834"/>
      <c r="JO402" s="834"/>
      <c r="JP402" s="834"/>
      <c r="JQ402" s="834"/>
      <c r="JR402" s="834"/>
      <c r="JS402" s="834"/>
      <c r="JT402" s="834"/>
      <c r="JU402" s="834"/>
      <c r="JV402" s="834"/>
      <c r="JW402" s="834"/>
      <c r="JX402" s="834"/>
      <c r="JY402" s="834"/>
      <c r="JZ402" s="834"/>
      <c r="KA402" s="834"/>
      <c r="KB402" s="834"/>
      <c r="KC402" s="834"/>
      <c r="KD402" s="834"/>
      <c r="KE402" s="834"/>
      <c r="KF402" s="834"/>
      <c r="KG402" s="834"/>
      <c r="KH402" s="834"/>
      <c r="KI402" s="834"/>
      <c r="KJ402" s="834"/>
      <c r="KK402" s="834"/>
      <c r="KL402" s="834"/>
      <c r="KM402" s="834"/>
      <c r="KN402" s="834"/>
      <c r="KO402" s="834"/>
      <c r="KP402" s="834"/>
      <c r="KQ402" s="834"/>
      <c r="KR402" s="834"/>
      <c r="KS402" s="834"/>
      <c r="KT402" s="834"/>
      <c r="KU402" s="834"/>
      <c r="KV402" s="834"/>
      <c r="KW402" s="834"/>
      <c r="KX402" s="834"/>
      <c r="KY402" s="834"/>
      <c r="KZ402" s="834"/>
      <c r="LA402" s="834"/>
      <c r="LB402" s="834"/>
      <c r="LC402" s="834"/>
      <c r="LD402" s="834"/>
      <c r="LE402" s="834"/>
      <c r="LF402" s="834"/>
      <c r="LG402" s="834"/>
      <c r="LH402" s="834"/>
      <c r="LI402" s="834"/>
      <c r="LJ402" s="834"/>
      <c r="LK402" s="834"/>
      <c r="LL402" s="834"/>
      <c r="LM402" s="834"/>
      <c r="LN402" s="834"/>
      <c r="LO402" s="834"/>
      <c r="LP402" s="834"/>
      <c r="LQ402" s="834"/>
      <c r="LR402" s="834"/>
      <c r="LS402" s="834"/>
      <c r="LT402" s="834"/>
      <c r="LU402" s="834"/>
      <c r="LV402" s="834"/>
      <c r="LW402" s="834"/>
      <c r="LX402" s="834"/>
      <c r="LY402" s="834"/>
      <c r="LZ402" s="834"/>
      <c r="MA402" s="834"/>
      <c r="MB402" s="834"/>
      <c r="MC402" s="834"/>
      <c r="MD402" s="834"/>
      <c r="ME402" s="834"/>
      <c r="MF402" s="834"/>
      <c r="MG402" s="834"/>
      <c r="MH402" s="834"/>
      <c r="MI402" s="834"/>
      <c r="MJ402" s="834"/>
      <c r="MK402" s="834"/>
      <c r="ML402" s="834"/>
      <c r="MM402" s="834"/>
      <c r="MN402" s="834"/>
      <c r="MO402" s="834"/>
      <c r="MP402" s="834"/>
      <c r="MQ402" s="834"/>
      <c r="MR402" s="834"/>
      <c r="MS402" s="834"/>
      <c r="MT402" s="834"/>
      <c r="MU402" s="834"/>
      <c r="MV402" s="834"/>
      <c r="MW402" s="834"/>
      <c r="MX402" s="834"/>
      <c r="MY402" s="834"/>
      <c r="MZ402" s="834"/>
      <c r="NA402" s="834"/>
      <c r="NB402" s="834"/>
      <c r="NC402" s="834"/>
      <c r="ND402" s="834"/>
      <c r="NE402" s="834"/>
      <c r="NF402" s="834"/>
      <c r="NG402" s="834"/>
      <c r="NH402" s="834"/>
      <c r="NI402" s="834"/>
      <c r="NJ402" s="834"/>
      <c r="NK402" s="834"/>
      <c r="NL402" s="834"/>
      <c r="NM402" s="834"/>
      <c r="NN402" s="834"/>
      <c r="NO402" s="834"/>
      <c r="NP402" s="834"/>
      <c r="NQ402" s="834"/>
      <c r="NR402" s="834"/>
      <c r="NS402" s="834"/>
      <c r="NT402" s="834"/>
      <c r="NU402" s="834"/>
      <c r="NV402" s="834"/>
      <c r="NW402" s="834"/>
      <c r="NX402" s="834"/>
      <c r="NY402" s="834"/>
      <c r="NZ402" s="834"/>
      <c r="OA402" s="834"/>
      <c r="OB402" s="834"/>
      <c r="OC402" s="834"/>
      <c r="OD402" s="834"/>
      <c r="OE402" s="834"/>
      <c r="OF402" s="834"/>
      <c r="OG402" s="834"/>
      <c r="OH402" s="834"/>
      <c r="OI402" s="834"/>
      <c r="OJ402" s="834"/>
      <c r="OK402" s="834"/>
      <c r="OL402" s="834"/>
      <c r="OM402" s="834"/>
      <c r="ON402" s="834"/>
      <c r="OO402" s="834"/>
      <c r="OP402" s="834"/>
      <c r="OQ402" s="834"/>
      <c r="OR402" s="834"/>
      <c r="OS402" s="834"/>
      <c r="OT402" s="834"/>
      <c r="OU402" s="834"/>
      <c r="OV402" s="834"/>
      <c r="OW402" s="834"/>
      <c r="OX402" s="834"/>
      <c r="OY402" s="834"/>
      <c r="OZ402" s="834"/>
      <c r="PA402" s="834"/>
      <c r="PB402" s="834"/>
      <c r="PC402" s="834"/>
      <c r="PD402" s="834"/>
      <c r="PE402" s="834"/>
      <c r="PF402" s="834"/>
      <c r="PG402" s="834"/>
      <c r="PH402" s="834"/>
      <c r="PI402" s="834"/>
      <c r="PJ402" s="834"/>
      <c r="PK402" s="834"/>
      <c r="PL402" s="834"/>
      <c r="PM402" s="834"/>
      <c r="PN402" s="834"/>
      <c r="PO402" s="834"/>
      <c r="PP402" s="834"/>
      <c r="PQ402" s="834"/>
      <c r="PR402" s="834"/>
      <c r="PS402" s="834"/>
      <c r="PT402" s="834"/>
      <c r="PU402" s="834"/>
      <c r="PV402" s="834"/>
      <c r="PW402" s="834"/>
      <c r="PX402" s="834"/>
      <c r="PY402" s="834"/>
      <c r="PZ402" s="834"/>
      <c r="QA402" s="834"/>
      <c r="QB402" s="834"/>
      <c r="QC402" s="834"/>
      <c r="QD402" s="834"/>
      <c r="QE402" s="834"/>
      <c r="QF402" s="834"/>
      <c r="QG402" s="834"/>
      <c r="QH402" s="834"/>
      <c r="QI402" s="834"/>
      <c r="QJ402" s="834"/>
      <c r="QK402" s="834"/>
      <c r="QL402" s="834"/>
      <c r="QM402" s="834"/>
      <c r="QN402" s="834"/>
      <c r="QO402" s="834"/>
      <c r="QP402" s="834"/>
      <c r="QQ402" s="834"/>
      <c r="QR402" s="834"/>
      <c r="QS402" s="834"/>
      <c r="QT402" s="834"/>
      <c r="QU402" s="834"/>
      <c r="QV402" s="834"/>
      <c r="QW402" s="834"/>
      <c r="QX402" s="834"/>
      <c r="QY402" s="834"/>
      <c r="QZ402" s="834"/>
      <c r="RA402" s="834"/>
      <c r="RB402" s="834"/>
      <c r="RC402" s="834"/>
      <c r="RD402" s="834"/>
      <c r="RE402" s="834"/>
      <c r="RF402" s="834"/>
      <c r="RG402" s="834"/>
      <c r="RH402" s="834"/>
      <c r="RI402" s="834"/>
      <c r="RJ402" s="834"/>
      <c r="RK402" s="834"/>
      <c r="RL402" s="834"/>
      <c r="RM402" s="834"/>
      <c r="RN402" s="834"/>
      <c r="RO402" s="834"/>
      <c r="RP402" s="834"/>
      <c r="RQ402" s="834"/>
      <c r="RR402" s="834"/>
      <c r="RS402" s="834"/>
      <c r="RT402" s="834"/>
      <c r="RU402" s="834"/>
      <c r="RV402" s="834"/>
      <c r="RW402" s="834"/>
      <c r="RX402" s="834"/>
      <c r="RY402" s="834"/>
      <c r="RZ402" s="834"/>
      <c r="SA402" s="834"/>
      <c r="SB402" s="834"/>
      <c r="SC402" s="834"/>
      <c r="SD402" s="834"/>
      <c r="SE402" s="834"/>
      <c r="SF402" s="834"/>
      <c r="SG402" s="834"/>
      <c r="SH402" s="834"/>
      <c r="SI402" s="834"/>
      <c r="SJ402" s="834"/>
      <c r="SK402" s="834"/>
      <c r="SL402" s="834"/>
      <c r="SM402" s="834"/>
      <c r="SN402" s="834"/>
      <c r="SO402" s="834"/>
      <c r="SP402" s="834"/>
      <c r="SQ402" s="834"/>
      <c r="SR402" s="834"/>
      <c r="SS402" s="834"/>
      <c r="ST402" s="834"/>
      <c r="SU402" s="834"/>
      <c r="SV402" s="834"/>
      <c r="SW402" s="834"/>
      <c r="SX402" s="834"/>
      <c r="SY402" s="834"/>
      <c r="SZ402" s="834"/>
      <c r="TA402" s="834"/>
      <c r="TB402" s="834"/>
      <c r="TC402" s="834"/>
      <c r="TD402" s="834"/>
      <c r="TE402" s="834"/>
      <c r="TF402" s="834"/>
      <c r="TG402" s="834"/>
      <c r="TH402" s="834"/>
      <c r="TI402" s="834"/>
      <c r="TJ402" s="834"/>
      <c r="TK402" s="834"/>
      <c r="TL402" s="834"/>
      <c r="TM402" s="834"/>
      <c r="TN402" s="834"/>
      <c r="TO402" s="834"/>
      <c r="TP402" s="834"/>
      <c r="TQ402" s="834"/>
      <c r="TR402" s="834"/>
      <c r="TS402" s="834"/>
      <c r="TT402" s="834"/>
      <c r="TU402" s="834"/>
      <c r="TV402" s="834"/>
      <c r="TW402" s="834"/>
      <c r="TX402" s="834"/>
      <c r="TY402" s="834"/>
      <c r="TZ402" s="834"/>
      <c r="UA402" s="834"/>
      <c r="UB402" s="834"/>
      <c r="UC402" s="834"/>
      <c r="UD402" s="834"/>
      <c r="UE402" s="834"/>
      <c r="UF402" s="834"/>
      <c r="UG402" s="834"/>
      <c r="UH402" s="834"/>
      <c r="UI402" s="834"/>
      <c r="UJ402" s="834"/>
      <c r="UK402" s="834"/>
      <c r="UL402" s="834"/>
      <c r="UM402" s="834"/>
      <c r="UN402" s="834"/>
      <c r="UO402" s="834"/>
      <c r="UP402" s="834"/>
      <c r="UQ402" s="834"/>
      <c r="UR402" s="834"/>
      <c r="US402" s="834"/>
      <c r="UT402" s="834"/>
      <c r="UU402" s="834"/>
      <c r="UV402" s="834"/>
      <c r="UW402" s="834"/>
      <c r="UX402" s="834"/>
      <c r="UY402" s="834"/>
      <c r="UZ402" s="834"/>
      <c r="VA402" s="834"/>
      <c r="VB402" s="834"/>
      <c r="VC402" s="834"/>
      <c r="VD402" s="834"/>
      <c r="VE402" s="834"/>
      <c r="VF402" s="834"/>
      <c r="VG402" s="834"/>
      <c r="VH402" s="834"/>
      <c r="VI402" s="834"/>
      <c r="VJ402" s="834"/>
      <c r="VK402" s="834"/>
      <c r="VL402" s="834"/>
      <c r="VM402" s="834"/>
      <c r="VN402" s="834"/>
      <c r="VO402" s="834"/>
      <c r="VP402" s="834"/>
      <c r="VQ402" s="834"/>
      <c r="VR402" s="834"/>
      <c r="VS402" s="834"/>
      <c r="VT402" s="834"/>
      <c r="VU402" s="834"/>
      <c r="VV402" s="834"/>
      <c r="VW402" s="834"/>
      <c r="VX402" s="834"/>
      <c r="VY402" s="834"/>
      <c r="VZ402" s="834"/>
      <c r="WA402" s="834"/>
      <c r="WB402" s="834"/>
      <c r="WC402" s="834"/>
      <c r="WD402" s="834"/>
      <c r="WE402" s="834"/>
      <c r="WF402" s="834"/>
      <c r="WG402" s="834"/>
      <c r="WH402" s="834"/>
      <c r="WI402" s="834"/>
      <c r="WJ402" s="834"/>
      <c r="WK402" s="834"/>
      <c r="WL402" s="834"/>
      <c r="WM402" s="834"/>
      <c r="WN402" s="834"/>
      <c r="WO402" s="834"/>
      <c r="WP402" s="834"/>
      <c r="WQ402" s="834"/>
      <c r="WR402" s="834"/>
      <c r="WS402" s="834"/>
      <c r="WT402" s="834"/>
      <c r="WU402" s="834"/>
      <c r="WV402" s="834"/>
      <c r="WW402" s="834"/>
      <c r="WX402" s="834"/>
      <c r="WY402" s="834"/>
      <c r="WZ402" s="834"/>
      <c r="XA402" s="834"/>
      <c r="XB402" s="834"/>
      <c r="XC402" s="834"/>
      <c r="XD402" s="834"/>
      <c r="XE402" s="834"/>
      <c r="XF402" s="834"/>
      <c r="XG402" s="834"/>
      <c r="XH402" s="834"/>
      <c r="XI402" s="834"/>
      <c r="XJ402" s="834"/>
      <c r="XK402" s="834"/>
      <c r="XL402" s="834"/>
      <c r="XM402" s="834"/>
      <c r="XN402" s="834"/>
      <c r="XO402" s="834"/>
      <c r="XP402" s="834"/>
      <c r="XQ402" s="834"/>
      <c r="XR402" s="834"/>
      <c r="XS402" s="834"/>
      <c r="XT402" s="834"/>
      <c r="XU402" s="834"/>
      <c r="XV402" s="834"/>
      <c r="XW402" s="834"/>
      <c r="XX402" s="834"/>
      <c r="XY402" s="834"/>
      <c r="XZ402" s="834"/>
      <c r="YA402" s="834"/>
      <c r="YB402" s="834"/>
      <c r="YC402" s="834"/>
      <c r="YD402" s="834"/>
      <c r="YE402" s="834"/>
      <c r="YF402" s="834"/>
      <c r="YG402" s="834"/>
      <c r="YH402" s="834"/>
      <c r="YI402" s="834"/>
      <c r="YJ402" s="834"/>
      <c r="YK402" s="834"/>
      <c r="YL402" s="834"/>
      <c r="YM402" s="834"/>
      <c r="YN402" s="834"/>
      <c r="YO402" s="834"/>
      <c r="YP402" s="834"/>
      <c r="YQ402" s="834"/>
      <c r="YR402" s="834"/>
      <c r="YS402" s="834"/>
      <c r="YT402" s="834"/>
      <c r="YU402" s="834"/>
      <c r="YV402" s="834"/>
      <c r="YW402" s="834"/>
      <c r="YX402" s="834"/>
      <c r="YY402" s="834"/>
      <c r="YZ402" s="834"/>
      <c r="ZA402" s="834"/>
      <c r="ZB402" s="834"/>
      <c r="ZC402" s="834"/>
      <c r="ZD402" s="834"/>
      <c r="ZE402" s="834"/>
      <c r="ZF402" s="834"/>
      <c r="ZG402" s="834"/>
      <c r="ZH402" s="834"/>
      <c r="ZI402" s="834"/>
      <c r="ZJ402" s="834"/>
      <c r="ZK402" s="834"/>
      <c r="ZL402" s="834"/>
      <c r="ZM402" s="834"/>
      <c r="ZN402" s="834"/>
      <c r="ZO402" s="834"/>
      <c r="ZP402" s="834"/>
      <c r="ZQ402" s="834"/>
      <c r="ZR402" s="834"/>
      <c r="ZS402" s="834"/>
      <c r="ZT402" s="834"/>
      <c r="ZU402" s="834"/>
      <c r="ZV402" s="834"/>
      <c r="ZW402" s="834"/>
      <c r="ZX402" s="834"/>
      <c r="ZY402" s="834"/>
      <c r="ZZ402" s="834"/>
      <c r="AAA402" s="834"/>
      <c r="AAB402" s="834"/>
      <c r="AAC402" s="834"/>
      <c r="AAD402" s="834"/>
      <c r="AAE402" s="834"/>
      <c r="AAF402" s="834"/>
      <c r="AAG402" s="834"/>
      <c r="AAH402" s="834"/>
      <c r="AAI402" s="834"/>
      <c r="AAJ402" s="834"/>
      <c r="AAK402" s="834"/>
      <c r="AAL402" s="834"/>
      <c r="AAM402" s="834"/>
      <c r="AAN402" s="834"/>
      <c r="AAO402" s="834"/>
      <c r="AAP402" s="834"/>
      <c r="AAQ402" s="834"/>
      <c r="AAR402" s="834"/>
      <c r="AAS402" s="834"/>
      <c r="AAT402" s="834"/>
      <c r="AAU402" s="834"/>
      <c r="AAV402" s="834"/>
      <c r="AAW402" s="834"/>
      <c r="AAX402" s="834"/>
      <c r="AAY402" s="834"/>
      <c r="AAZ402" s="834"/>
      <c r="ABA402" s="834"/>
      <c r="ABB402" s="834"/>
      <c r="ABC402" s="834"/>
      <c r="ABD402" s="834"/>
      <c r="ABE402" s="834"/>
      <c r="ABF402" s="834"/>
      <c r="ABG402" s="834"/>
      <c r="ABH402" s="834"/>
      <c r="ABI402" s="834"/>
      <c r="ABJ402" s="834"/>
      <c r="ABK402" s="834"/>
      <c r="ABL402" s="834"/>
      <c r="ABM402" s="834"/>
      <c r="ABN402" s="834"/>
      <c r="ABO402" s="834"/>
      <c r="ABP402" s="834"/>
      <c r="ABQ402" s="834"/>
      <c r="ABR402" s="834"/>
      <c r="ABS402" s="834"/>
      <c r="ABT402" s="834"/>
      <c r="ABU402" s="834"/>
      <c r="ABV402" s="834"/>
      <c r="ABW402" s="834"/>
      <c r="ABX402" s="834"/>
      <c r="ABY402" s="834"/>
      <c r="ABZ402" s="834"/>
      <c r="ACA402" s="834"/>
      <c r="ACB402" s="834"/>
      <c r="ACC402" s="834"/>
      <c r="ACD402" s="834"/>
      <c r="ACE402" s="834"/>
      <c r="ACF402" s="834"/>
      <c r="ACG402" s="834"/>
      <c r="ACH402" s="834"/>
      <c r="ACI402" s="834"/>
      <c r="ACJ402" s="834"/>
      <c r="ACK402" s="834"/>
      <c r="ACL402" s="834"/>
      <c r="ACM402" s="834"/>
      <c r="ACN402" s="834"/>
      <c r="ACO402" s="834"/>
      <c r="ACP402" s="834"/>
      <c r="ACQ402" s="834"/>
      <c r="ACR402" s="834"/>
      <c r="ACS402" s="834"/>
      <c r="ACT402" s="834"/>
      <c r="ACU402" s="834"/>
      <c r="ACV402" s="834"/>
      <c r="ACW402" s="834"/>
      <c r="ACX402" s="834"/>
      <c r="ACY402" s="834"/>
      <c r="ACZ402" s="834"/>
      <c r="ADA402" s="834"/>
      <c r="ADB402" s="834"/>
      <c r="ADC402" s="834"/>
      <c r="ADD402" s="834"/>
      <c r="ADE402" s="834"/>
      <c r="ADF402" s="834"/>
      <c r="ADG402" s="834"/>
      <c r="ADH402" s="834"/>
      <c r="ADI402" s="834"/>
      <c r="ADJ402" s="834"/>
      <c r="ADK402" s="834"/>
      <c r="ADL402" s="834"/>
      <c r="ADM402" s="834"/>
      <c r="ADN402" s="834"/>
      <c r="ADO402" s="834"/>
      <c r="ADP402" s="834"/>
      <c r="ADQ402" s="834"/>
      <c r="ADR402" s="834"/>
      <c r="ADS402" s="834"/>
      <c r="ADT402" s="834"/>
      <c r="ADU402" s="834"/>
      <c r="ADV402" s="834"/>
      <c r="ADW402" s="834"/>
      <c r="ADX402" s="834"/>
      <c r="ADY402" s="834"/>
      <c r="ADZ402" s="834"/>
      <c r="AEA402" s="834"/>
      <c r="AEB402" s="834"/>
      <c r="AEC402" s="834"/>
      <c r="AED402" s="834"/>
      <c r="AEE402" s="834"/>
      <c r="AEF402" s="834"/>
      <c r="AEG402" s="834"/>
      <c r="AEH402" s="834"/>
      <c r="AEI402" s="834"/>
      <c r="AEJ402" s="834"/>
      <c r="AEK402" s="834"/>
      <c r="AEL402" s="834"/>
      <c r="AEM402" s="834"/>
      <c r="AEN402" s="834"/>
      <c r="AEO402" s="834"/>
      <c r="AEP402" s="834"/>
      <c r="AEQ402" s="834"/>
      <c r="AER402" s="834"/>
      <c r="AES402" s="834"/>
      <c r="AET402" s="834"/>
      <c r="AEU402" s="834"/>
      <c r="AEV402" s="834"/>
      <c r="AEW402" s="834"/>
      <c r="AEX402" s="834"/>
      <c r="AEY402" s="834"/>
      <c r="AEZ402" s="834"/>
      <c r="AFA402" s="834"/>
      <c r="AFB402" s="834"/>
      <c r="AFC402" s="834"/>
      <c r="AFD402" s="834"/>
      <c r="AFE402" s="834"/>
      <c r="AFF402" s="834"/>
      <c r="AFG402" s="834"/>
      <c r="AFH402" s="834"/>
      <c r="AFI402" s="834"/>
      <c r="AFJ402" s="834"/>
      <c r="AFK402" s="834"/>
      <c r="AFL402" s="834"/>
      <c r="AFM402" s="834"/>
      <c r="AFN402" s="834"/>
      <c r="AFO402" s="834"/>
      <c r="AFP402" s="834"/>
      <c r="AFQ402" s="834"/>
      <c r="AFR402" s="834"/>
      <c r="AFS402" s="834"/>
      <c r="AFT402" s="834"/>
      <c r="AFU402" s="834"/>
      <c r="AFV402" s="834"/>
      <c r="AFW402" s="834"/>
      <c r="AFX402" s="834"/>
      <c r="AFY402" s="834"/>
      <c r="AFZ402" s="834"/>
      <c r="AGA402" s="834"/>
      <c r="AGB402" s="834"/>
      <c r="AGC402" s="834"/>
      <c r="AGD402" s="834"/>
      <c r="AGE402" s="834"/>
      <c r="AGF402" s="834"/>
      <c r="AGG402" s="834"/>
      <c r="AGH402" s="834"/>
      <c r="AGI402" s="834"/>
      <c r="AGJ402" s="834"/>
      <c r="AGK402" s="834"/>
      <c r="AGL402" s="834"/>
      <c r="AGM402" s="834"/>
      <c r="AGN402" s="834"/>
      <c r="AGO402" s="834"/>
      <c r="AGP402" s="834"/>
      <c r="AGQ402" s="834"/>
      <c r="AGR402" s="834"/>
      <c r="AGS402" s="834"/>
      <c r="AGT402" s="834"/>
      <c r="AGU402" s="834"/>
      <c r="AGV402" s="834"/>
      <c r="AGW402" s="834"/>
      <c r="AGX402" s="834"/>
      <c r="AGY402" s="834"/>
      <c r="AGZ402" s="834"/>
      <c r="AHA402" s="834"/>
      <c r="AHB402" s="834"/>
      <c r="AHC402" s="834"/>
      <c r="AHD402" s="834"/>
      <c r="AHE402" s="834"/>
      <c r="AHF402" s="834"/>
      <c r="AHG402" s="834"/>
      <c r="AHH402" s="834"/>
      <c r="AHI402" s="834"/>
      <c r="AHJ402" s="834"/>
      <c r="AHK402" s="834"/>
      <c r="AHL402" s="834"/>
      <c r="AHM402" s="834"/>
      <c r="AHN402" s="834"/>
      <c r="AHO402" s="834"/>
      <c r="AHP402" s="834"/>
      <c r="AHQ402" s="834"/>
      <c r="AHR402" s="834"/>
      <c r="AHS402" s="834"/>
      <c r="AHT402" s="834"/>
      <c r="AHU402" s="834"/>
      <c r="AHV402" s="834"/>
      <c r="AHW402" s="834"/>
      <c r="AHX402" s="834"/>
      <c r="AHY402" s="834"/>
      <c r="AHZ402" s="834"/>
      <c r="AIA402" s="834"/>
      <c r="AIB402" s="834"/>
      <c r="AIC402" s="834"/>
      <c r="AID402" s="834"/>
      <c r="AIE402" s="834"/>
      <c r="AIF402" s="834"/>
      <c r="AIG402" s="834"/>
      <c r="AIH402" s="834"/>
      <c r="AII402" s="834"/>
      <c r="AIJ402" s="834"/>
      <c r="AIK402" s="834"/>
      <c r="AIL402" s="834"/>
      <c r="AIM402" s="834"/>
      <c r="AIN402" s="834"/>
      <c r="AIO402" s="834"/>
      <c r="AIP402" s="834"/>
      <c r="AIQ402" s="834"/>
      <c r="AIR402" s="834"/>
      <c r="AIS402" s="834"/>
      <c r="AIT402" s="834"/>
      <c r="AIU402" s="834"/>
      <c r="AIV402" s="834"/>
      <c r="AIW402" s="834"/>
      <c r="AIX402" s="834"/>
      <c r="AIY402" s="834"/>
      <c r="AIZ402" s="834"/>
      <c r="AJA402" s="834"/>
      <c r="AJB402" s="834"/>
      <c r="AJC402" s="834"/>
      <c r="AJD402" s="834"/>
      <c r="AJE402" s="834"/>
      <c r="AJF402" s="834"/>
      <c r="AJG402" s="834"/>
      <c r="AJH402" s="834"/>
      <c r="AJI402" s="834"/>
      <c r="AJJ402" s="834"/>
      <c r="AJK402" s="834"/>
      <c r="AJL402" s="834"/>
      <c r="AJM402" s="834"/>
      <c r="AJN402" s="834"/>
      <c r="AJO402" s="834"/>
      <c r="AJP402" s="834"/>
      <c r="AJQ402" s="834"/>
      <c r="AJR402" s="834"/>
      <c r="AJS402" s="834"/>
      <c r="AJT402" s="834"/>
      <c r="AJU402" s="834"/>
      <c r="AJV402" s="834"/>
      <c r="AJW402" s="834"/>
      <c r="AJX402" s="834"/>
      <c r="AJY402" s="834"/>
      <c r="AJZ402" s="834"/>
      <c r="AKA402" s="834"/>
      <c r="AKB402" s="834"/>
      <c r="AKC402" s="834"/>
      <c r="AKD402" s="834"/>
      <c r="AKE402" s="834"/>
      <c r="AKF402" s="834"/>
      <c r="AKG402" s="834"/>
      <c r="AKH402" s="834"/>
      <c r="AKI402" s="834"/>
      <c r="AKJ402" s="834"/>
      <c r="AKK402" s="834"/>
      <c r="AKL402" s="834"/>
      <c r="AKM402" s="834"/>
      <c r="AKN402" s="834"/>
      <c r="AKO402" s="834"/>
      <c r="AKP402" s="834"/>
      <c r="AKQ402" s="834"/>
      <c r="AKR402" s="834"/>
      <c r="AKS402" s="834"/>
      <c r="AKT402" s="834"/>
      <c r="AKU402" s="834"/>
      <c r="AKV402" s="834"/>
      <c r="AKW402" s="834"/>
      <c r="AKX402" s="834"/>
      <c r="AKY402" s="834"/>
      <c r="AKZ402" s="834"/>
      <c r="ALA402" s="834"/>
      <c r="ALB402" s="834"/>
      <c r="ALC402" s="834"/>
      <c r="ALD402" s="834"/>
      <c r="ALE402" s="834"/>
      <c r="ALF402" s="834"/>
      <c r="ALG402" s="834"/>
      <c r="ALH402" s="834"/>
      <c r="ALI402" s="834"/>
      <c r="ALJ402" s="834"/>
      <c r="ALK402" s="834"/>
      <c r="ALL402" s="834"/>
      <c r="ALM402" s="834"/>
      <c r="ALN402" s="834"/>
      <c r="ALO402" s="834"/>
      <c r="ALP402" s="834"/>
      <c r="ALQ402" s="834"/>
      <c r="ALR402" s="834"/>
      <c r="ALS402" s="834"/>
      <c r="ALT402" s="834"/>
      <c r="ALU402" s="834"/>
      <c r="ALV402" s="834"/>
      <c r="ALW402" s="834"/>
      <c r="ALX402" s="834"/>
      <c r="ALY402" s="834"/>
      <c r="ALZ402" s="834"/>
      <c r="AMA402" s="834"/>
      <c r="AMB402" s="834"/>
      <c r="AMC402" s="834"/>
      <c r="AMD402" s="834"/>
      <c r="AME402" s="834"/>
      <c r="AMF402" s="834"/>
      <c r="AMG402" s="834"/>
      <c r="AMH402" s="834"/>
      <c r="AMI402" s="834"/>
      <c r="AMJ402" s="834"/>
      <c r="AMK402" s="834"/>
      <c r="AML402" s="834"/>
    </row>
    <row r="403" spans="1:1026" s="388" customFormat="1" ht="36" customHeight="1" outlineLevel="1">
      <c r="A403" s="885"/>
      <c r="B403" s="444" t="s">
        <v>1054</v>
      </c>
      <c r="C403" s="886" t="s">
        <v>1055</v>
      </c>
      <c r="D403" s="448" t="s">
        <v>1056</v>
      </c>
      <c r="E403" s="449" t="s">
        <v>38</v>
      </c>
      <c r="F403" s="992">
        <f>Plan1!D375</f>
        <v>6.5</v>
      </c>
      <c r="G403" s="925">
        <f>K403</f>
        <v>21.26</v>
      </c>
      <c r="H403" s="889">
        <f>F403*G403</f>
        <v>138.19</v>
      </c>
      <c r="I403" s="885"/>
      <c r="J403" s="915">
        <v>16.79</v>
      </c>
      <c r="K403" s="916">
        <f t="shared" si="109"/>
        <v>21.26</v>
      </c>
      <c r="L403" s="832"/>
      <c r="M403" s="832"/>
      <c r="N403" s="832"/>
      <c r="O403" s="832"/>
      <c r="P403" s="832"/>
      <c r="Q403" s="832"/>
      <c r="R403" s="832"/>
      <c r="S403" s="832"/>
      <c r="T403" s="832"/>
      <c r="U403" s="832"/>
      <c r="V403" s="832"/>
      <c r="W403" s="832"/>
      <c r="X403" s="832"/>
      <c r="Y403" s="832"/>
      <c r="Z403" s="832"/>
      <c r="AA403" s="832"/>
      <c r="AB403" s="832"/>
      <c r="AC403" s="832"/>
      <c r="AD403" s="832"/>
      <c r="AE403" s="832"/>
      <c r="AF403" s="832"/>
      <c r="AG403" s="832"/>
      <c r="AH403" s="832"/>
      <c r="AI403" s="832"/>
      <c r="AJ403" s="832"/>
      <c r="AK403" s="832"/>
      <c r="AL403" s="832"/>
      <c r="AM403" s="832"/>
      <c r="AN403" s="832"/>
      <c r="AO403" s="832"/>
      <c r="AP403" s="832"/>
      <c r="AQ403" s="832"/>
      <c r="AR403" s="832"/>
      <c r="AS403" s="832"/>
      <c r="AT403" s="832"/>
      <c r="AU403" s="832"/>
      <c r="AV403" s="832"/>
      <c r="AW403" s="832"/>
      <c r="AX403" s="832"/>
      <c r="AY403" s="832"/>
      <c r="AZ403" s="832"/>
      <c r="BA403" s="832"/>
      <c r="BB403" s="832"/>
      <c r="BC403" s="832"/>
      <c r="BD403" s="832"/>
      <c r="BE403" s="832"/>
      <c r="BF403" s="832"/>
      <c r="BG403" s="832"/>
      <c r="BH403" s="832"/>
      <c r="BI403" s="832"/>
      <c r="BJ403" s="832"/>
      <c r="BK403" s="832"/>
      <c r="BL403" s="832"/>
      <c r="BM403" s="832"/>
      <c r="BN403" s="832"/>
      <c r="BO403" s="832"/>
      <c r="BP403" s="832"/>
      <c r="BQ403" s="832"/>
      <c r="BR403" s="832"/>
      <c r="BS403" s="832"/>
      <c r="BT403" s="832"/>
      <c r="BU403" s="832"/>
      <c r="BV403" s="832"/>
      <c r="BW403" s="832"/>
      <c r="BX403" s="832"/>
      <c r="BY403" s="832"/>
      <c r="BZ403" s="832"/>
      <c r="CA403" s="832"/>
      <c r="CB403" s="832"/>
      <c r="CC403" s="832"/>
      <c r="CD403" s="832"/>
      <c r="CE403" s="832"/>
      <c r="CF403" s="832"/>
      <c r="CG403" s="832"/>
      <c r="CH403" s="832"/>
      <c r="CI403" s="832"/>
      <c r="CJ403" s="832"/>
      <c r="CK403" s="832"/>
      <c r="CL403" s="832"/>
      <c r="CM403" s="832"/>
      <c r="CN403" s="832"/>
      <c r="CO403" s="832"/>
      <c r="CP403" s="832"/>
      <c r="CQ403" s="832"/>
      <c r="CR403" s="832"/>
      <c r="CS403" s="832"/>
      <c r="CT403" s="832"/>
      <c r="CU403" s="832"/>
      <c r="CV403" s="832"/>
      <c r="CW403" s="832"/>
      <c r="CX403" s="832"/>
      <c r="CY403" s="832"/>
      <c r="CZ403" s="832"/>
      <c r="DA403" s="832"/>
      <c r="DB403" s="832"/>
      <c r="DC403" s="832"/>
      <c r="DD403" s="832"/>
      <c r="DE403" s="832"/>
      <c r="DF403" s="832"/>
      <c r="DG403" s="832"/>
      <c r="DH403" s="832"/>
      <c r="DI403" s="832"/>
      <c r="DJ403" s="832"/>
      <c r="DK403" s="832"/>
      <c r="DL403" s="832"/>
      <c r="DM403" s="832"/>
      <c r="DN403" s="832"/>
      <c r="DO403" s="832"/>
      <c r="DP403" s="832"/>
      <c r="DQ403" s="832"/>
      <c r="DR403" s="832"/>
      <c r="DS403" s="832"/>
      <c r="DT403" s="832"/>
      <c r="DU403" s="832"/>
      <c r="DV403" s="832"/>
      <c r="DW403" s="832"/>
      <c r="DX403" s="832"/>
      <c r="DY403" s="832"/>
      <c r="DZ403" s="832"/>
      <c r="EA403" s="832"/>
      <c r="EB403" s="832"/>
      <c r="EC403" s="832"/>
      <c r="ED403" s="832"/>
      <c r="EE403" s="832"/>
      <c r="EF403" s="832"/>
      <c r="EG403" s="832"/>
      <c r="EH403" s="832"/>
      <c r="EI403" s="832"/>
      <c r="EJ403" s="832"/>
      <c r="EK403" s="832"/>
      <c r="EL403" s="832"/>
      <c r="EM403" s="832"/>
      <c r="EN403" s="832"/>
      <c r="EO403" s="832"/>
      <c r="EP403" s="832"/>
      <c r="EQ403" s="832"/>
      <c r="ER403" s="832"/>
      <c r="ES403" s="832"/>
      <c r="ET403" s="832"/>
      <c r="EU403" s="832"/>
      <c r="EV403" s="832"/>
      <c r="EW403" s="832"/>
      <c r="EX403" s="832"/>
      <c r="EY403" s="832"/>
      <c r="EZ403" s="832"/>
      <c r="FA403" s="832"/>
      <c r="FB403" s="832"/>
      <c r="FC403" s="832"/>
      <c r="FD403" s="832"/>
      <c r="FE403" s="832"/>
      <c r="FF403" s="832"/>
      <c r="FG403" s="832"/>
      <c r="FH403" s="832"/>
      <c r="FI403" s="832"/>
      <c r="FJ403" s="832"/>
      <c r="FK403" s="832"/>
      <c r="FL403" s="832"/>
      <c r="FM403" s="832"/>
      <c r="FN403" s="832"/>
      <c r="FO403" s="832"/>
      <c r="FP403" s="832"/>
      <c r="FQ403" s="832"/>
      <c r="FR403" s="832"/>
      <c r="FS403" s="832"/>
      <c r="FT403" s="832"/>
      <c r="FU403" s="832"/>
      <c r="FV403" s="832"/>
      <c r="FW403" s="832"/>
      <c r="FX403" s="832"/>
      <c r="FY403" s="832"/>
      <c r="FZ403" s="832"/>
      <c r="GA403" s="832"/>
      <c r="GB403" s="832"/>
      <c r="GC403" s="832"/>
      <c r="GD403" s="832"/>
      <c r="GE403" s="832"/>
      <c r="GF403" s="832"/>
      <c r="GG403" s="832"/>
      <c r="GH403" s="832"/>
      <c r="GI403" s="832"/>
      <c r="GJ403" s="832"/>
      <c r="GK403" s="832"/>
      <c r="GL403" s="832"/>
      <c r="GM403" s="832"/>
      <c r="GN403" s="832"/>
      <c r="GO403" s="832"/>
      <c r="GP403" s="832"/>
      <c r="GQ403" s="832"/>
      <c r="GR403" s="832"/>
      <c r="GS403" s="832"/>
      <c r="GT403" s="832"/>
      <c r="GU403" s="832"/>
      <c r="GV403" s="832"/>
      <c r="GW403" s="832"/>
      <c r="GX403" s="832"/>
      <c r="GY403" s="832"/>
      <c r="GZ403" s="832"/>
      <c r="HA403" s="832"/>
      <c r="HB403" s="832"/>
      <c r="HC403" s="832"/>
      <c r="HD403" s="832"/>
      <c r="HE403" s="832"/>
      <c r="HF403" s="832"/>
      <c r="HG403" s="832"/>
      <c r="HH403" s="832"/>
      <c r="HI403" s="832"/>
      <c r="HJ403" s="832"/>
      <c r="HK403" s="832"/>
      <c r="HL403" s="832"/>
      <c r="HM403" s="832"/>
      <c r="HN403" s="832"/>
      <c r="HO403" s="832"/>
      <c r="HP403" s="832"/>
      <c r="HQ403" s="832"/>
      <c r="HR403" s="832"/>
      <c r="HS403" s="832"/>
      <c r="HT403" s="832"/>
      <c r="HU403" s="832"/>
      <c r="HV403" s="832"/>
      <c r="HW403" s="832"/>
      <c r="HX403" s="832"/>
      <c r="HY403" s="832"/>
      <c r="HZ403" s="832"/>
      <c r="IA403" s="832"/>
      <c r="IB403" s="832"/>
      <c r="IC403" s="832"/>
      <c r="ID403" s="832"/>
      <c r="IE403" s="832"/>
      <c r="IF403" s="832"/>
      <c r="IG403" s="832"/>
      <c r="IH403" s="832"/>
      <c r="II403" s="832"/>
      <c r="IJ403" s="832"/>
      <c r="IK403" s="832"/>
      <c r="IL403" s="832"/>
      <c r="IM403" s="832"/>
      <c r="IN403" s="832"/>
      <c r="IO403" s="832"/>
      <c r="IP403" s="832"/>
      <c r="IQ403" s="832"/>
      <c r="IR403" s="832"/>
      <c r="IS403" s="832"/>
      <c r="IT403" s="832"/>
      <c r="IU403" s="832"/>
      <c r="IV403" s="832"/>
      <c r="IW403" s="832"/>
      <c r="IX403" s="832"/>
      <c r="IY403" s="832"/>
      <c r="IZ403" s="832"/>
      <c r="JA403" s="832"/>
      <c r="JB403" s="832"/>
      <c r="JC403" s="832"/>
      <c r="JD403" s="832"/>
      <c r="JE403" s="832"/>
      <c r="JF403" s="832"/>
      <c r="JG403" s="832"/>
      <c r="JH403" s="832"/>
      <c r="JI403" s="832"/>
      <c r="JJ403" s="832"/>
      <c r="JK403" s="832"/>
      <c r="JL403" s="832"/>
      <c r="JM403" s="832"/>
      <c r="JN403" s="832"/>
      <c r="JO403" s="832"/>
      <c r="JP403" s="832"/>
      <c r="JQ403" s="832"/>
      <c r="JR403" s="832"/>
      <c r="JS403" s="832"/>
      <c r="JT403" s="832"/>
      <c r="JU403" s="832"/>
      <c r="JV403" s="832"/>
      <c r="JW403" s="832"/>
      <c r="JX403" s="832"/>
      <c r="JY403" s="832"/>
      <c r="JZ403" s="832"/>
      <c r="KA403" s="832"/>
      <c r="KB403" s="832"/>
      <c r="KC403" s="832"/>
      <c r="KD403" s="832"/>
      <c r="KE403" s="832"/>
      <c r="KF403" s="832"/>
      <c r="KG403" s="832"/>
      <c r="KH403" s="832"/>
      <c r="KI403" s="832"/>
      <c r="KJ403" s="832"/>
      <c r="KK403" s="832"/>
      <c r="KL403" s="832"/>
      <c r="KM403" s="832"/>
      <c r="KN403" s="832"/>
      <c r="KO403" s="832"/>
      <c r="KP403" s="832"/>
      <c r="KQ403" s="832"/>
      <c r="KR403" s="832"/>
      <c r="KS403" s="832"/>
      <c r="KT403" s="832"/>
      <c r="KU403" s="832"/>
      <c r="KV403" s="832"/>
      <c r="KW403" s="832"/>
      <c r="KX403" s="832"/>
      <c r="KY403" s="832"/>
      <c r="KZ403" s="832"/>
      <c r="LA403" s="832"/>
      <c r="LB403" s="832"/>
      <c r="LC403" s="832"/>
      <c r="LD403" s="832"/>
      <c r="LE403" s="832"/>
      <c r="LF403" s="832"/>
      <c r="LG403" s="832"/>
      <c r="LH403" s="832"/>
      <c r="LI403" s="832"/>
      <c r="LJ403" s="832"/>
      <c r="LK403" s="832"/>
      <c r="LL403" s="832"/>
      <c r="LM403" s="832"/>
      <c r="LN403" s="832"/>
      <c r="LO403" s="832"/>
      <c r="LP403" s="832"/>
      <c r="LQ403" s="832"/>
      <c r="LR403" s="832"/>
      <c r="LS403" s="832"/>
      <c r="LT403" s="832"/>
      <c r="LU403" s="832"/>
      <c r="LV403" s="832"/>
      <c r="LW403" s="832"/>
      <c r="LX403" s="832"/>
      <c r="LY403" s="832"/>
      <c r="LZ403" s="832"/>
      <c r="MA403" s="832"/>
      <c r="MB403" s="832"/>
      <c r="MC403" s="832"/>
      <c r="MD403" s="832"/>
      <c r="ME403" s="832"/>
      <c r="MF403" s="832"/>
      <c r="MG403" s="832"/>
      <c r="MH403" s="832"/>
      <c r="MI403" s="832"/>
      <c r="MJ403" s="832"/>
      <c r="MK403" s="832"/>
      <c r="ML403" s="832"/>
      <c r="MM403" s="832"/>
      <c r="MN403" s="832"/>
      <c r="MO403" s="832"/>
      <c r="MP403" s="832"/>
      <c r="MQ403" s="832"/>
      <c r="MR403" s="832"/>
      <c r="MS403" s="832"/>
      <c r="MT403" s="832"/>
      <c r="MU403" s="832"/>
      <c r="MV403" s="832"/>
      <c r="MW403" s="832"/>
      <c r="MX403" s="832"/>
      <c r="MY403" s="832"/>
      <c r="MZ403" s="832"/>
      <c r="NA403" s="832"/>
      <c r="NB403" s="832"/>
      <c r="NC403" s="832"/>
      <c r="ND403" s="832"/>
      <c r="NE403" s="832"/>
      <c r="NF403" s="832"/>
      <c r="NG403" s="832"/>
      <c r="NH403" s="832"/>
      <c r="NI403" s="832"/>
      <c r="NJ403" s="832"/>
      <c r="NK403" s="832"/>
      <c r="NL403" s="832"/>
      <c r="NM403" s="832"/>
      <c r="NN403" s="832"/>
      <c r="NO403" s="832"/>
      <c r="NP403" s="832"/>
      <c r="NQ403" s="832"/>
      <c r="NR403" s="832"/>
      <c r="NS403" s="832"/>
      <c r="NT403" s="832"/>
      <c r="NU403" s="832"/>
      <c r="NV403" s="832"/>
      <c r="NW403" s="832"/>
      <c r="NX403" s="832"/>
      <c r="NY403" s="832"/>
      <c r="NZ403" s="832"/>
      <c r="OA403" s="832"/>
      <c r="OB403" s="832"/>
      <c r="OC403" s="832"/>
      <c r="OD403" s="832"/>
      <c r="OE403" s="832"/>
      <c r="OF403" s="832"/>
      <c r="OG403" s="832"/>
      <c r="OH403" s="832"/>
      <c r="OI403" s="832"/>
      <c r="OJ403" s="832"/>
      <c r="OK403" s="832"/>
      <c r="OL403" s="832"/>
      <c r="OM403" s="832"/>
      <c r="ON403" s="832"/>
      <c r="OO403" s="832"/>
      <c r="OP403" s="832"/>
      <c r="OQ403" s="832"/>
      <c r="OR403" s="832"/>
      <c r="OS403" s="832"/>
      <c r="OT403" s="832"/>
      <c r="OU403" s="832"/>
      <c r="OV403" s="832"/>
      <c r="OW403" s="832"/>
      <c r="OX403" s="832"/>
      <c r="OY403" s="832"/>
      <c r="OZ403" s="832"/>
      <c r="PA403" s="832"/>
      <c r="PB403" s="832"/>
      <c r="PC403" s="832"/>
      <c r="PD403" s="832"/>
      <c r="PE403" s="832"/>
      <c r="PF403" s="832"/>
      <c r="PG403" s="832"/>
      <c r="PH403" s="832"/>
      <c r="PI403" s="832"/>
      <c r="PJ403" s="832"/>
      <c r="PK403" s="832"/>
      <c r="PL403" s="832"/>
      <c r="PM403" s="832"/>
      <c r="PN403" s="832"/>
      <c r="PO403" s="832"/>
      <c r="PP403" s="832"/>
      <c r="PQ403" s="832"/>
      <c r="PR403" s="832"/>
      <c r="PS403" s="832"/>
      <c r="PT403" s="832"/>
      <c r="PU403" s="832"/>
      <c r="PV403" s="832"/>
      <c r="PW403" s="832"/>
      <c r="PX403" s="832"/>
      <c r="PY403" s="832"/>
      <c r="PZ403" s="832"/>
      <c r="QA403" s="832"/>
      <c r="QB403" s="832"/>
      <c r="QC403" s="832"/>
      <c r="QD403" s="832"/>
      <c r="QE403" s="832"/>
      <c r="QF403" s="832"/>
      <c r="QG403" s="832"/>
      <c r="QH403" s="832"/>
      <c r="QI403" s="832"/>
      <c r="QJ403" s="832"/>
      <c r="QK403" s="832"/>
      <c r="QL403" s="832"/>
      <c r="QM403" s="832"/>
      <c r="QN403" s="832"/>
      <c r="QO403" s="832"/>
      <c r="QP403" s="832"/>
      <c r="QQ403" s="832"/>
      <c r="QR403" s="832"/>
      <c r="QS403" s="832"/>
      <c r="QT403" s="832"/>
      <c r="QU403" s="832"/>
      <c r="QV403" s="832"/>
      <c r="QW403" s="832"/>
      <c r="QX403" s="832"/>
      <c r="QY403" s="832"/>
      <c r="QZ403" s="832"/>
      <c r="RA403" s="832"/>
      <c r="RB403" s="832"/>
      <c r="RC403" s="832"/>
      <c r="RD403" s="832"/>
      <c r="RE403" s="832"/>
      <c r="RF403" s="832"/>
      <c r="RG403" s="832"/>
      <c r="RH403" s="832"/>
      <c r="RI403" s="832"/>
      <c r="RJ403" s="832"/>
      <c r="RK403" s="832"/>
      <c r="RL403" s="832"/>
      <c r="RM403" s="832"/>
      <c r="RN403" s="832"/>
      <c r="RO403" s="832"/>
      <c r="RP403" s="832"/>
      <c r="RQ403" s="832"/>
      <c r="RR403" s="832"/>
      <c r="RS403" s="832"/>
      <c r="RT403" s="832"/>
      <c r="RU403" s="832"/>
      <c r="RV403" s="832"/>
      <c r="RW403" s="832"/>
      <c r="RX403" s="832"/>
      <c r="RY403" s="832"/>
      <c r="RZ403" s="832"/>
      <c r="SA403" s="832"/>
      <c r="SB403" s="832"/>
      <c r="SC403" s="832"/>
      <c r="SD403" s="832"/>
      <c r="SE403" s="832"/>
      <c r="SF403" s="832"/>
      <c r="SG403" s="832"/>
      <c r="SH403" s="832"/>
      <c r="SI403" s="832"/>
      <c r="SJ403" s="832"/>
      <c r="SK403" s="832"/>
      <c r="SL403" s="832"/>
      <c r="SM403" s="832"/>
      <c r="SN403" s="832"/>
      <c r="SO403" s="832"/>
      <c r="SP403" s="832"/>
      <c r="SQ403" s="832"/>
      <c r="SR403" s="832"/>
      <c r="SS403" s="832"/>
      <c r="ST403" s="832"/>
      <c r="SU403" s="832"/>
      <c r="SV403" s="832"/>
      <c r="SW403" s="832"/>
      <c r="SX403" s="832"/>
      <c r="SY403" s="832"/>
      <c r="SZ403" s="832"/>
      <c r="TA403" s="832"/>
      <c r="TB403" s="832"/>
      <c r="TC403" s="832"/>
      <c r="TD403" s="832"/>
      <c r="TE403" s="832"/>
      <c r="TF403" s="832"/>
      <c r="TG403" s="832"/>
      <c r="TH403" s="832"/>
      <c r="TI403" s="832"/>
      <c r="TJ403" s="832"/>
      <c r="TK403" s="832"/>
      <c r="TL403" s="832"/>
      <c r="TM403" s="832"/>
      <c r="TN403" s="832"/>
      <c r="TO403" s="832"/>
      <c r="TP403" s="832"/>
      <c r="TQ403" s="832"/>
      <c r="TR403" s="832"/>
      <c r="TS403" s="832"/>
      <c r="TT403" s="832"/>
      <c r="TU403" s="832"/>
      <c r="TV403" s="832"/>
      <c r="TW403" s="832"/>
      <c r="TX403" s="832"/>
      <c r="TY403" s="832"/>
      <c r="TZ403" s="832"/>
      <c r="UA403" s="832"/>
      <c r="UB403" s="832"/>
      <c r="UC403" s="832"/>
      <c r="UD403" s="832"/>
      <c r="UE403" s="832"/>
      <c r="UF403" s="832"/>
      <c r="UG403" s="832"/>
      <c r="UH403" s="832"/>
      <c r="UI403" s="832"/>
      <c r="UJ403" s="832"/>
      <c r="UK403" s="832"/>
      <c r="UL403" s="832"/>
      <c r="UM403" s="832"/>
      <c r="UN403" s="832"/>
      <c r="UO403" s="832"/>
      <c r="UP403" s="832"/>
      <c r="UQ403" s="832"/>
      <c r="UR403" s="832"/>
      <c r="US403" s="832"/>
      <c r="UT403" s="832"/>
      <c r="UU403" s="832"/>
      <c r="UV403" s="832"/>
      <c r="UW403" s="832"/>
      <c r="UX403" s="832"/>
      <c r="UY403" s="832"/>
      <c r="UZ403" s="832"/>
      <c r="VA403" s="832"/>
      <c r="VB403" s="832"/>
      <c r="VC403" s="832"/>
      <c r="VD403" s="832"/>
      <c r="VE403" s="832"/>
      <c r="VF403" s="832"/>
      <c r="VG403" s="832"/>
      <c r="VH403" s="832"/>
      <c r="VI403" s="832"/>
      <c r="VJ403" s="832"/>
      <c r="VK403" s="832"/>
      <c r="VL403" s="832"/>
      <c r="VM403" s="832"/>
      <c r="VN403" s="832"/>
      <c r="VO403" s="832"/>
      <c r="VP403" s="832"/>
      <c r="VQ403" s="832"/>
      <c r="VR403" s="832"/>
      <c r="VS403" s="832"/>
      <c r="VT403" s="832"/>
      <c r="VU403" s="832"/>
      <c r="VV403" s="832"/>
      <c r="VW403" s="832"/>
      <c r="VX403" s="832"/>
      <c r="VY403" s="832"/>
      <c r="VZ403" s="832"/>
      <c r="WA403" s="832"/>
      <c r="WB403" s="832"/>
      <c r="WC403" s="832"/>
      <c r="WD403" s="832"/>
      <c r="WE403" s="832"/>
      <c r="WF403" s="832"/>
      <c r="WG403" s="832"/>
      <c r="WH403" s="832"/>
      <c r="WI403" s="832"/>
      <c r="WJ403" s="832"/>
      <c r="WK403" s="832"/>
      <c r="WL403" s="832"/>
      <c r="WM403" s="832"/>
      <c r="WN403" s="832"/>
      <c r="WO403" s="832"/>
      <c r="WP403" s="832"/>
      <c r="WQ403" s="832"/>
      <c r="WR403" s="832"/>
      <c r="WS403" s="832"/>
      <c r="WT403" s="832"/>
      <c r="WU403" s="832"/>
      <c r="WV403" s="832"/>
      <c r="WW403" s="832"/>
      <c r="WX403" s="832"/>
      <c r="WY403" s="832"/>
      <c r="WZ403" s="832"/>
      <c r="XA403" s="832"/>
      <c r="XB403" s="832"/>
      <c r="XC403" s="832"/>
      <c r="XD403" s="832"/>
      <c r="XE403" s="832"/>
      <c r="XF403" s="832"/>
      <c r="XG403" s="832"/>
      <c r="XH403" s="832"/>
      <c r="XI403" s="832"/>
      <c r="XJ403" s="832"/>
      <c r="XK403" s="832"/>
      <c r="XL403" s="832"/>
      <c r="XM403" s="832"/>
      <c r="XN403" s="832"/>
      <c r="XO403" s="832"/>
      <c r="XP403" s="832"/>
      <c r="XQ403" s="832"/>
      <c r="XR403" s="832"/>
      <c r="XS403" s="832"/>
      <c r="XT403" s="832"/>
      <c r="XU403" s="832"/>
      <c r="XV403" s="832"/>
      <c r="XW403" s="832"/>
      <c r="XX403" s="832"/>
      <c r="XY403" s="832"/>
      <c r="XZ403" s="832"/>
      <c r="YA403" s="832"/>
      <c r="YB403" s="832"/>
      <c r="YC403" s="832"/>
      <c r="YD403" s="832"/>
      <c r="YE403" s="832"/>
      <c r="YF403" s="832"/>
      <c r="YG403" s="832"/>
      <c r="YH403" s="832"/>
      <c r="YI403" s="832"/>
      <c r="YJ403" s="832"/>
      <c r="YK403" s="832"/>
      <c r="YL403" s="832"/>
      <c r="YM403" s="832"/>
      <c r="YN403" s="832"/>
      <c r="YO403" s="832"/>
      <c r="YP403" s="832"/>
      <c r="YQ403" s="832"/>
      <c r="YR403" s="832"/>
      <c r="YS403" s="832"/>
      <c r="YT403" s="832"/>
      <c r="YU403" s="832"/>
      <c r="YV403" s="832"/>
      <c r="YW403" s="832"/>
      <c r="YX403" s="832"/>
      <c r="YY403" s="832"/>
      <c r="YZ403" s="832"/>
      <c r="ZA403" s="832"/>
      <c r="ZB403" s="832"/>
      <c r="ZC403" s="832"/>
      <c r="ZD403" s="832"/>
      <c r="ZE403" s="832"/>
      <c r="ZF403" s="832"/>
      <c r="ZG403" s="832"/>
      <c r="ZH403" s="832"/>
      <c r="ZI403" s="832"/>
      <c r="ZJ403" s="832"/>
      <c r="ZK403" s="832"/>
      <c r="ZL403" s="832"/>
      <c r="ZM403" s="832"/>
      <c r="ZN403" s="832"/>
      <c r="ZO403" s="832"/>
      <c r="ZP403" s="832"/>
      <c r="ZQ403" s="832"/>
      <c r="ZR403" s="832"/>
      <c r="ZS403" s="832"/>
      <c r="ZT403" s="832"/>
      <c r="ZU403" s="832"/>
      <c r="ZV403" s="832"/>
      <c r="ZW403" s="832"/>
      <c r="ZX403" s="832"/>
      <c r="ZY403" s="832"/>
      <c r="ZZ403" s="832"/>
      <c r="AAA403" s="832"/>
      <c r="AAB403" s="832"/>
      <c r="AAC403" s="832"/>
      <c r="AAD403" s="832"/>
      <c r="AAE403" s="832"/>
      <c r="AAF403" s="832"/>
      <c r="AAG403" s="832"/>
      <c r="AAH403" s="832"/>
      <c r="AAI403" s="832"/>
      <c r="AAJ403" s="832"/>
      <c r="AAK403" s="832"/>
      <c r="AAL403" s="832"/>
      <c r="AAM403" s="832"/>
      <c r="AAN403" s="832"/>
      <c r="AAO403" s="832"/>
      <c r="AAP403" s="832"/>
      <c r="AAQ403" s="832"/>
      <c r="AAR403" s="832"/>
      <c r="AAS403" s="832"/>
      <c r="AAT403" s="832"/>
      <c r="AAU403" s="832"/>
      <c r="AAV403" s="832"/>
      <c r="AAW403" s="832"/>
      <c r="AAX403" s="832"/>
      <c r="AAY403" s="832"/>
      <c r="AAZ403" s="832"/>
      <c r="ABA403" s="832"/>
      <c r="ABB403" s="832"/>
      <c r="ABC403" s="832"/>
      <c r="ABD403" s="832"/>
      <c r="ABE403" s="832"/>
      <c r="ABF403" s="832"/>
      <c r="ABG403" s="832"/>
      <c r="ABH403" s="832"/>
      <c r="ABI403" s="832"/>
      <c r="ABJ403" s="832"/>
      <c r="ABK403" s="832"/>
      <c r="ABL403" s="832"/>
      <c r="ABM403" s="832"/>
      <c r="ABN403" s="832"/>
      <c r="ABO403" s="832"/>
      <c r="ABP403" s="832"/>
      <c r="ABQ403" s="832"/>
      <c r="ABR403" s="832"/>
      <c r="ABS403" s="832"/>
      <c r="ABT403" s="832"/>
      <c r="ABU403" s="832"/>
      <c r="ABV403" s="832"/>
      <c r="ABW403" s="832"/>
      <c r="ABX403" s="832"/>
      <c r="ABY403" s="832"/>
      <c r="ABZ403" s="832"/>
      <c r="ACA403" s="832"/>
      <c r="ACB403" s="832"/>
      <c r="ACC403" s="832"/>
      <c r="ACD403" s="832"/>
      <c r="ACE403" s="832"/>
      <c r="ACF403" s="832"/>
      <c r="ACG403" s="832"/>
      <c r="ACH403" s="832"/>
      <c r="ACI403" s="832"/>
      <c r="ACJ403" s="832"/>
      <c r="ACK403" s="832"/>
      <c r="ACL403" s="832"/>
      <c r="ACM403" s="832"/>
      <c r="ACN403" s="832"/>
      <c r="ACO403" s="832"/>
      <c r="ACP403" s="832"/>
      <c r="ACQ403" s="832"/>
      <c r="ACR403" s="832"/>
      <c r="ACS403" s="832"/>
      <c r="ACT403" s="832"/>
      <c r="ACU403" s="832"/>
      <c r="ACV403" s="832"/>
      <c r="ACW403" s="832"/>
      <c r="ACX403" s="832"/>
      <c r="ACY403" s="832"/>
      <c r="ACZ403" s="832"/>
      <c r="ADA403" s="832"/>
      <c r="ADB403" s="832"/>
      <c r="ADC403" s="832"/>
      <c r="ADD403" s="832"/>
      <c r="ADE403" s="832"/>
      <c r="ADF403" s="832"/>
      <c r="ADG403" s="832"/>
      <c r="ADH403" s="832"/>
      <c r="ADI403" s="832"/>
      <c r="ADJ403" s="832"/>
      <c r="ADK403" s="832"/>
      <c r="ADL403" s="832"/>
      <c r="ADM403" s="832"/>
      <c r="ADN403" s="832"/>
      <c r="ADO403" s="832"/>
      <c r="ADP403" s="832"/>
      <c r="ADQ403" s="832"/>
      <c r="ADR403" s="832"/>
      <c r="ADS403" s="832"/>
      <c r="ADT403" s="832"/>
      <c r="ADU403" s="832"/>
      <c r="ADV403" s="832"/>
      <c r="ADW403" s="832"/>
      <c r="ADX403" s="832"/>
      <c r="ADY403" s="832"/>
      <c r="ADZ403" s="832"/>
      <c r="AEA403" s="832"/>
      <c r="AEB403" s="832"/>
      <c r="AEC403" s="832"/>
      <c r="AED403" s="832"/>
      <c r="AEE403" s="832"/>
      <c r="AEF403" s="832"/>
      <c r="AEG403" s="832"/>
      <c r="AEH403" s="832"/>
      <c r="AEI403" s="832"/>
      <c r="AEJ403" s="832"/>
      <c r="AEK403" s="832"/>
      <c r="AEL403" s="832"/>
      <c r="AEM403" s="832"/>
      <c r="AEN403" s="832"/>
      <c r="AEO403" s="832"/>
      <c r="AEP403" s="832"/>
      <c r="AEQ403" s="832"/>
      <c r="AER403" s="832"/>
      <c r="AES403" s="832"/>
      <c r="AET403" s="832"/>
      <c r="AEU403" s="832"/>
      <c r="AEV403" s="832"/>
      <c r="AEW403" s="832"/>
      <c r="AEX403" s="832"/>
      <c r="AEY403" s="832"/>
      <c r="AEZ403" s="832"/>
      <c r="AFA403" s="832"/>
      <c r="AFB403" s="832"/>
      <c r="AFC403" s="832"/>
      <c r="AFD403" s="832"/>
      <c r="AFE403" s="832"/>
      <c r="AFF403" s="832"/>
      <c r="AFG403" s="832"/>
      <c r="AFH403" s="832"/>
      <c r="AFI403" s="832"/>
      <c r="AFJ403" s="832"/>
      <c r="AFK403" s="832"/>
      <c r="AFL403" s="832"/>
      <c r="AFM403" s="832"/>
      <c r="AFN403" s="832"/>
      <c r="AFO403" s="832"/>
      <c r="AFP403" s="832"/>
      <c r="AFQ403" s="832"/>
      <c r="AFR403" s="832"/>
      <c r="AFS403" s="832"/>
      <c r="AFT403" s="832"/>
      <c r="AFU403" s="832"/>
      <c r="AFV403" s="832"/>
      <c r="AFW403" s="832"/>
      <c r="AFX403" s="832"/>
      <c r="AFY403" s="832"/>
      <c r="AFZ403" s="832"/>
      <c r="AGA403" s="832"/>
      <c r="AGB403" s="832"/>
      <c r="AGC403" s="832"/>
      <c r="AGD403" s="832"/>
      <c r="AGE403" s="832"/>
      <c r="AGF403" s="832"/>
      <c r="AGG403" s="832"/>
      <c r="AGH403" s="832"/>
      <c r="AGI403" s="832"/>
      <c r="AGJ403" s="832"/>
      <c r="AGK403" s="832"/>
      <c r="AGL403" s="832"/>
      <c r="AGM403" s="832"/>
      <c r="AGN403" s="832"/>
      <c r="AGO403" s="832"/>
      <c r="AGP403" s="832"/>
      <c r="AGQ403" s="832"/>
      <c r="AGR403" s="832"/>
      <c r="AGS403" s="832"/>
      <c r="AGT403" s="832"/>
      <c r="AGU403" s="832"/>
      <c r="AGV403" s="832"/>
      <c r="AGW403" s="832"/>
      <c r="AGX403" s="832"/>
      <c r="AGY403" s="832"/>
      <c r="AGZ403" s="832"/>
      <c r="AHA403" s="832"/>
      <c r="AHB403" s="832"/>
      <c r="AHC403" s="832"/>
      <c r="AHD403" s="832"/>
      <c r="AHE403" s="832"/>
      <c r="AHF403" s="832"/>
      <c r="AHG403" s="832"/>
      <c r="AHH403" s="832"/>
      <c r="AHI403" s="832"/>
      <c r="AHJ403" s="832"/>
      <c r="AHK403" s="832"/>
      <c r="AHL403" s="832"/>
      <c r="AHM403" s="832"/>
      <c r="AHN403" s="832"/>
      <c r="AHO403" s="832"/>
      <c r="AHP403" s="832"/>
      <c r="AHQ403" s="832"/>
      <c r="AHR403" s="832"/>
      <c r="AHS403" s="832"/>
      <c r="AHT403" s="832"/>
      <c r="AHU403" s="832"/>
      <c r="AHV403" s="832"/>
      <c r="AHW403" s="832"/>
      <c r="AHX403" s="832"/>
      <c r="AHY403" s="832"/>
      <c r="AHZ403" s="832"/>
      <c r="AIA403" s="832"/>
      <c r="AIB403" s="832"/>
      <c r="AIC403" s="832"/>
      <c r="AID403" s="832"/>
      <c r="AIE403" s="832"/>
      <c r="AIF403" s="832"/>
      <c r="AIG403" s="832"/>
      <c r="AIH403" s="832"/>
      <c r="AII403" s="832"/>
      <c r="AIJ403" s="832"/>
      <c r="AIK403" s="832"/>
      <c r="AIL403" s="832"/>
      <c r="AIM403" s="832"/>
      <c r="AIN403" s="832"/>
      <c r="AIO403" s="832"/>
      <c r="AIP403" s="832"/>
      <c r="AIQ403" s="832"/>
      <c r="AIR403" s="832"/>
      <c r="AIS403" s="832"/>
      <c r="AIT403" s="832"/>
      <c r="AIU403" s="832"/>
      <c r="AIV403" s="832"/>
      <c r="AIW403" s="832"/>
      <c r="AIX403" s="832"/>
      <c r="AIY403" s="832"/>
      <c r="AIZ403" s="832"/>
      <c r="AJA403" s="832"/>
      <c r="AJB403" s="832"/>
      <c r="AJC403" s="832"/>
      <c r="AJD403" s="832"/>
      <c r="AJE403" s="832"/>
      <c r="AJF403" s="832"/>
      <c r="AJG403" s="832"/>
      <c r="AJH403" s="832"/>
      <c r="AJI403" s="832"/>
      <c r="AJJ403" s="832"/>
      <c r="AJK403" s="832"/>
      <c r="AJL403" s="832"/>
      <c r="AJM403" s="832"/>
      <c r="AJN403" s="832"/>
      <c r="AJO403" s="832"/>
      <c r="AJP403" s="832"/>
      <c r="AJQ403" s="832"/>
      <c r="AJR403" s="832"/>
      <c r="AJS403" s="832"/>
      <c r="AJT403" s="832"/>
      <c r="AJU403" s="832"/>
      <c r="AJV403" s="832"/>
      <c r="AJW403" s="832"/>
      <c r="AJX403" s="832"/>
      <c r="AJY403" s="832"/>
      <c r="AJZ403" s="832"/>
      <c r="AKA403" s="832"/>
      <c r="AKB403" s="832"/>
      <c r="AKC403" s="832"/>
      <c r="AKD403" s="832"/>
      <c r="AKE403" s="832"/>
      <c r="AKF403" s="832"/>
      <c r="AKG403" s="832"/>
      <c r="AKH403" s="832"/>
      <c r="AKI403" s="832"/>
      <c r="AKJ403" s="832"/>
      <c r="AKK403" s="832"/>
      <c r="AKL403" s="832"/>
      <c r="AKM403" s="832"/>
      <c r="AKN403" s="832"/>
      <c r="AKO403" s="832"/>
      <c r="AKP403" s="832"/>
      <c r="AKQ403" s="832"/>
      <c r="AKR403" s="832"/>
      <c r="AKS403" s="832"/>
      <c r="AKT403" s="832"/>
      <c r="AKU403" s="832"/>
      <c r="AKV403" s="832"/>
      <c r="AKW403" s="832"/>
      <c r="AKX403" s="832"/>
      <c r="AKY403" s="832"/>
      <c r="AKZ403" s="832"/>
      <c r="ALA403" s="832"/>
      <c r="ALB403" s="832"/>
      <c r="ALC403" s="832"/>
      <c r="ALD403" s="832"/>
      <c r="ALE403" s="832"/>
      <c r="ALF403" s="832"/>
      <c r="ALG403" s="832"/>
      <c r="ALH403" s="832"/>
      <c r="ALI403" s="832"/>
      <c r="ALJ403" s="832"/>
      <c r="ALK403" s="832"/>
      <c r="ALL403" s="832"/>
      <c r="ALM403" s="832"/>
      <c r="ALN403" s="832"/>
      <c r="ALO403" s="832"/>
      <c r="ALP403" s="832"/>
      <c r="ALQ403" s="832"/>
      <c r="ALR403" s="832"/>
      <c r="ALS403" s="832"/>
      <c r="ALT403" s="832"/>
      <c r="ALU403" s="832"/>
      <c r="ALV403" s="832"/>
      <c r="ALW403" s="832"/>
      <c r="ALX403" s="832"/>
      <c r="ALY403" s="832"/>
      <c r="ALZ403" s="832"/>
      <c r="AMA403" s="832"/>
      <c r="AMB403" s="832"/>
      <c r="AMC403" s="832"/>
      <c r="AMD403" s="832"/>
      <c r="AME403" s="832"/>
      <c r="AMF403" s="832"/>
      <c r="AMG403" s="832"/>
      <c r="AMH403" s="832"/>
      <c r="AMI403" s="832"/>
      <c r="AMJ403" s="832"/>
      <c r="AMK403" s="832"/>
      <c r="AML403" s="832"/>
    </row>
    <row r="404" spans="1:1026" ht="36" customHeight="1" outlineLevel="1">
      <c r="A404" s="844"/>
      <c r="B404" s="444" t="s">
        <v>1057</v>
      </c>
      <c r="C404" s="879" t="s">
        <v>1058</v>
      </c>
      <c r="D404" s="450" t="s">
        <v>1059</v>
      </c>
      <c r="E404" s="444" t="s">
        <v>38</v>
      </c>
      <c r="F404" s="992">
        <f>Plan1!D376</f>
        <v>111</v>
      </c>
      <c r="G404" s="893">
        <f t="shared" ref="G404:G409" si="121">K404</f>
        <v>18.22</v>
      </c>
      <c r="H404" s="883">
        <f t="shared" ref="H404:H409" si="122">F404*G404</f>
        <v>2022.4199999999998</v>
      </c>
      <c r="I404" s="844"/>
      <c r="J404" s="841">
        <v>14.39</v>
      </c>
      <c r="K404" s="842">
        <f t="shared" si="109"/>
        <v>18.22</v>
      </c>
    </row>
    <row r="405" spans="1:1026" s="388" customFormat="1" ht="36" customHeight="1" outlineLevel="1">
      <c r="A405" s="885"/>
      <c r="B405" s="444" t="s">
        <v>1060</v>
      </c>
      <c r="C405" s="886" t="s">
        <v>1061</v>
      </c>
      <c r="D405" s="448" t="s">
        <v>1062</v>
      </c>
      <c r="E405" s="449" t="s">
        <v>38</v>
      </c>
      <c r="F405" s="992">
        <f>Plan1!D377</f>
        <v>76.16</v>
      </c>
      <c r="G405" s="925">
        <f t="shared" si="121"/>
        <v>40.57</v>
      </c>
      <c r="H405" s="889">
        <f t="shared" si="122"/>
        <v>3089.8112000000001</v>
      </c>
      <c r="I405" s="885"/>
      <c r="J405" s="915">
        <v>32.04</v>
      </c>
      <c r="K405" s="916">
        <f t="shared" si="109"/>
        <v>40.57</v>
      </c>
      <c r="L405" s="832"/>
      <c r="M405" s="832"/>
      <c r="N405" s="832"/>
      <c r="O405" s="832"/>
      <c r="P405" s="832"/>
      <c r="Q405" s="832"/>
      <c r="R405" s="832"/>
      <c r="S405" s="832"/>
      <c r="T405" s="832"/>
      <c r="U405" s="832"/>
      <c r="V405" s="832"/>
      <c r="W405" s="832"/>
      <c r="X405" s="832"/>
      <c r="Y405" s="832"/>
      <c r="Z405" s="832"/>
      <c r="AA405" s="832"/>
      <c r="AB405" s="832"/>
      <c r="AC405" s="832"/>
      <c r="AD405" s="832"/>
      <c r="AE405" s="832"/>
      <c r="AF405" s="832"/>
      <c r="AG405" s="832"/>
      <c r="AH405" s="832"/>
      <c r="AI405" s="832"/>
      <c r="AJ405" s="832"/>
      <c r="AK405" s="832"/>
      <c r="AL405" s="832"/>
      <c r="AM405" s="832"/>
      <c r="AN405" s="832"/>
      <c r="AO405" s="832"/>
      <c r="AP405" s="832"/>
      <c r="AQ405" s="832"/>
      <c r="AR405" s="832"/>
      <c r="AS405" s="832"/>
      <c r="AT405" s="832"/>
      <c r="AU405" s="832"/>
      <c r="AV405" s="832"/>
      <c r="AW405" s="832"/>
      <c r="AX405" s="832"/>
      <c r="AY405" s="832"/>
      <c r="AZ405" s="832"/>
      <c r="BA405" s="832"/>
      <c r="BB405" s="832"/>
      <c r="BC405" s="832"/>
      <c r="BD405" s="832"/>
      <c r="BE405" s="832"/>
      <c r="BF405" s="832"/>
      <c r="BG405" s="832"/>
      <c r="BH405" s="832"/>
      <c r="BI405" s="832"/>
      <c r="BJ405" s="832"/>
      <c r="BK405" s="832"/>
      <c r="BL405" s="832"/>
      <c r="BM405" s="832"/>
      <c r="BN405" s="832"/>
      <c r="BO405" s="832"/>
      <c r="BP405" s="832"/>
      <c r="BQ405" s="832"/>
      <c r="BR405" s="832"/>
      <c r="BS405" s="832"/>
      <c r="BT405" s="832"/>
      <c r="BU405" s="832"/>
      <c r="BV405" s="832"/>
      <c r="BW405" s="832"/>
      <c r="BX405" s="832"/>
      <c r="BY405" s="832"/>
      <c r="BZ405" s="832"/>
      <c r="CA405" s="832"/>
      <c r="CB405" s="832"/>
      <c r="CC405" s="832"/>
      <c r="CD405" s="832"/>
      <c r="CE405" s="832"/>
      <c r="CF405" s="832"/>
      <c r="CG405" s="832"/>
      <c r="CH405" s="832"/>
      <c r="CI405" s="832"/>
      <c r="CJ405" s="832"/>
      <c r="CK405" s="832"/>
      <c r="CL405" s="832"/>
      <c r="CM405" s="832"/>
      <c r="CN405" s="832"/>
      <c r="CO405" s="832"/>
      <c r="CP405" s="832"/>
      <c r="CQ405" s="832"/>
      <c r="CR405" s="832"/>
      <c r="CS405" s="832"/>
      <c r="CT405" s="832"/>
      <c r="CU405" s="832"/>
      <c r="CV405" s="832"/>
      <c r="CW405" s="832"/>
      <c r="CX405" s="832"/>
      <c r="CY405" s="832"/>
      <c r="CZ405" s="832"/>
      <c r="DA405" s="832"/>
      <c r="DB405" s="832"/>
      <c r="DC405" s="832"/>
      <c r="DD405" s="832"/>
      <c r="DE405" s="832"/>
      <c r="DF405" s="832"/>
      <c r="DG405" s="832"/>
      <c r="DH405" s="832"/>
      <c r="DI405" s="832"/>
      <c r="DJ405" s="832"/>
      <c r="DK405" s="832"/>
      <c r="DL405" s="832"/>
      <c r="DM405" s="832"/>
      <c r="DN405" s="832"/>
      <c r="DO405" s="832"/>
      <c r="DP405" s="832"/>
      <c r="DQ405" s="832"/>
      <c r="DR405" s="832"/>
      <c r="DS405" s="832"/>
      <c r="DT405" s="832"/>
      <c r="DU405" s="832"/>
      <c r="DV405" s="832"/>
      <c r="DW405" s="832"/>
      <c r="DX405" s="832"/>
      <c r="DY405" s="832"/>
      <c r="DZ405" s="832"/>
      <c r="EA405" s="832"/>
      <c r="EB405" s="832"/>
      <c r="EC405" s="832"/>
      <c r="ED405" s="832"/>
      <c r="EE405" s="832"/>
      <c r="EF405" s="832"/>
      <c r="EG405" s="832"/>
      <c r="EH405" s="832"/>
      <c r="EI405" s="832"/>
      <c r="EJ405" s="832"/>
      <c r="EK405" s="832"/>
      <c r="EL405" s="832"/>
      <c r="EM405" s="832"/>
      <c r="EN405" s="832"/>
      <c r="EO405" s="832"/>
      <c r="EP405" s="832"/>
      <c r="EQ405" s="832"/>
      <c r="ER405" s="832"/>
      <c r="ES405" s="832"/>
      <c r="ET405" s="832"/>
      <c r="EU405" s="832"/>
      <c r="EV405" s="832"/>
      <c r="EW405" s="832"/>
      <c r="EX405" s="832"/>
      <c r="EY405" s="832"/>
      <c r="EZ405" s="832"/>
      <c r="FA405" s="832"/>
      <c r="FB405" s="832"/>
      <c r="FC405" s="832"/>
      <c r="FD405" s="832"/>
      <c r="FE405" s="832"/>
      <c r="FF405" s="832"/>
      <c r="FG405" s="832"/>
      <c r="FH405" s="832"/>
      <c r="FI405" s="832"/>
      <c r="FJ405" s="832"/>
      <c r="FK405" s="832"/>
      <c r="FL405" s="832"/>
      <c r="FM405" s="832"/>
      <c r="FN405" s="832"/>
      <c r="FO405" s="832"/>
      <c r="FP405" s="832"/>
      <c r="FQ405" s="832"/>
      <c r="FR405" s="832"/>
      <c r="FS405" s="832"/>
      <c r="FT405" s="832"/>
      <c r="FU405" s="832"/>
      <c r="FV405" s="832"/>
      <c r="FW405" s="832"/>
      <c r="FX405" s="832"/>
      <c r="FY405" s="832"/>
      <c r="FZ405" s="832"/>
      <c r="GA405" s="832"/>
      <c r="GB405" s="832"/>
      <c r="GC405" s="832"/>
      <c r="GD405" s="832"/>
      <c r="GE405" s="832"/>
      <c r="GF405" s="832"/>
      <c r="GG405" s="832"/>
      <c r="GH405" s="832"/>
      <c r="GI405" s="832"/>
      <c r="GJ405" s="832"/>
      <c r="GK405" s="832"/>
      <c r="GL405" s="832"/>
      <c r="GM405" s="832"/>
      <c r="GN405" s="832"/>
      <c r="GO405" s="832"/>
      <c r="GP405" s="832"/>
      <c r="GQ405" s="832"/>
      <c r="GR405" s="832"/>
      <c r="GS405" s="832"/>
      <c r="GT405" s="832"/>
      <c r="GU405" s="832"/>
      <c r="GV405" s="832"/>
      <c r="GW405" s="832"/>
      <c r="GX405" s="832"/>
      <c r="GY405" s="832"/>
      <c r="GZ405" s="832"/>
      <c r="HA405" s="832"/>
      <c r="HB405" s="832"/>
      <c r="HC405" s="832"/>
      <c r="HD405" s="832"/>
      <c r="HE405" s="832"/>
      <c r="HF405" s="832"/>
      <c r="HG405" s="832"/>
      <c r="HH405" s="832"/>
      <c r="HI405" s="832"/>
      <c r="HJ405" s="832"/>
      <c r="HK405" s="832"/>
      <c r="HL405" s="832"/>
      <c r="HM405" s="832"/>
      <c r="HN405" s="832"/>
      <c r="HO405" s="832"/>
      <c r="HP405" s="832"/>
      <c r="HQ405" s="832"/>
      <c r="HR405" s="832"/>
      <c r="HS405" s="832"/>
      <c r="HT405" s="832"/>
      <c r="HU405" s="832"/>
      <c r="HV405" s="832"/>
      <c r="HW405" s="832"/>
      <c r="HX405" s="832"/>
      <c r="HY405" s="832"/>
      <c r="HZ405" s="832"/>
      <c r="IA405" s="832"/>
      <c r="IB405" s="832"/>
      <c r="IC405" s="832"/>
      <c r="ID405" s="832"/>
      <c r="IE405" s="832"/>
      <c r="IF405" s="832"/>
      <c r="IG405" s="832"/>
      <c r="IH405" s="832"/>
      <c r="II405" s="832"/>
      <c r="IJ405" s="832"/>
      <c r="IK405" s="832"/>
      <c r="IL405" s="832"/>
      <c r="IM405" s="832"/>
      <c r="IN405" s="832"/>
      <c r="IO405" s="832"/>
      <c r="IP405" s="832"/>
      <c r="IQ405" s="832"/>
      <c r="IR405" s="832"/>
      <c r="IS405" s="832"/>
      <c r="IT405" s="832"/>
      <c r="IU405" s="832"/>
      <c r="IV405" s="832"/>
      <c r="IW405" s="832"/>
      <c r="IX405" s="832"/>
      <c r="IY405" s="832"/>
      <c r="IZ405" s="832"/>
      <c r="JA405" s="832"/>
      <c r="JB405" s="832"/>
      <c r="JC405" s="832"/>
      <c r="JD405" s="832"/>
      <c r="JE405" s="832"/>
      <c r="JF405" s="832"/>
      <c r="JG405" s="832"/>
      <c r="JH405" s="832"/>
      <c r="JI405" s="832"/>
      <c r="JJ405" s="832"/>
      <c r="JK405" s="832"/>
      <c r="JL405" s="832"/>
      <c r="JM405" s="832"/>
      <c r="JN405" s="832"/>
      <c r="JO405" s="832"/>
      <c r="JP405" s="832"/>
      <c r="JQ405" s="832"/>
      <c r="JR405" s="832"/>
      <c r="JS405" s="832"/>
      <c r="JT405" s="832"/>
      <c r="JU405" s="832"/>
      <c r="JV405" s="832"/>
      <c r="JW405" s="832"/>
      <c r="JX405" s="832"/>
      <c r="JY405" s="832"/>
      <c r="JZ405" s="832"/>
      <c r="KA405" s="832"/>
      <c r="KB405" s="832"/>
      <c r="KC405" s="832"/>
      <c r="KD405" s="832"/>
      <c r="KE405" s="832"/>
      <c r="KF405" s="832"/>
      <c r="KG405" s="832"/>
      <c r="KH405" s="832"/>
      <c r="KI405" s="832"/>
      <c r="KJ405" s="832"/>
      <c r="KK405" s="832"/>
      <c r="KL405" s="832"/>
      <c r="KM405" s="832"/>
      <c r="KN405" s="832"/>
      <c r="KO405" s="832"/>
      <c r="KP405" s="832"/>
      <c r="KQ405" s="832"/>
      <c r="KR405" s="832"/>
      <c r="KS405" s="832"/>
      <c r="KT405" s="832"/>
      <c r="KU405" s="832"/>
      <c r="KV405" s="832"/>
      <c r="KW405" s="832"/>
      <c r="KX405" s="832"/>
      <c r="KY405" s="832"/>
      <c r="KZ405" s="832"/>
      <c r="LA405" s="832"/>
      <c r="LB405" s="832"/>
      <c r="LC405" s="832"/>
      <c r="LD405" s="832"/>
      <c r="LE405" s="832"/>
      <c r="LF405" s="832"/>
      <c r="LG405" s="832"/>
      <c r="LH405" s="832"/>
      <c r="LI405" s="832"/>
      <c r="LJ405" s="832"/>
      <c r="LK405" s="832"/>
      <c r="LL405" s="832"/>
      <c r="LM405" s="832"/>
      <c r="LN405" s="832"/>
      <c r="LO405" s="832"/>
      <c r="LP405" s="832"/>
      <c r="LQ405" s="832"/>
      <c r="LR405" s="832"/>
      <c r="LS405" s="832"/>
      <c r="LT405" s="832"/>
      <c r="LU405" s="832"/>
      <c r="LV405" s="832"/>
      <c r="LW405" s="832"/>
      <c r="LX405" s="832"/>
      <c r="LY405" s="832"/>
      <c r="LZ405" s="832"/>
      <c r="MA405" s="832"/>
      <c r="MB405" s="832"/>
      <c r="MC405" s="832"/>
      <c r="MD405" s="832"/>
      <c r="ME405" s="832"/>
      <c r="MF405" s="832"/>
      <c r="MG405" s="832"/>
      <c r="MH405" s="832"/>
      <c r="MI405" s="832"/>
      <c r="MJ405" s="832"/>
      <c r="MK405" s="832"/>
      <c r="ML405" s="832"/>
      <c r="MM405" s="832"/>
      <c r="MN405" s="832"/>
      <c r="MO405" s="832"/>
      <c r="MP405" s="832"/>
      <c r="MQ405" s="832"/>
      <c r="MR405" s="832"/>
      <c r="MS405" s="832"/>
      <c r="MT405" s="832"/>
      <c r="MU405" s="832"/>
      <c r="MV405" s="832"/>
      <c r="MW405" s="832"/>
      <c r="MX405" s="832"/>
      <c r="MY405" s="832"/>
      <c r="MZ405" s="832"/>
      <c r="NA405" s="832"/>
      <c r="NB405" s="832"/>
      <c r="NC405" s="832"/>
      <c r="ND405" s="832"/>
      <c r="NE405" s="832"/>
      <c r="NF405" s="832"/>
      <c r="NG405" s="832"/>
      <c r="NH405" s="832"/>
      <c r="NI405" s="832"/>
      <c r="NJ405" s="832"/>
      <c r="NK405" s="832"/>
      <c r="NL405" s="832"/>
      <c r="NM405" s="832"/>
      <c r="NN405" s="832"/>
      <c r="NO405" s="832"/>
      <c r="NP405" s="832"/>
      <c r="NQ405" s="832"/>
      <c r="NR405" s="832"/>
      <c r="NS405" s="832"/>
      <c r="NT405" s="832"/>
      <c r="NU405" s="832"/>
      <c r="NV405" s="832"/>
      <c r="NW405" s="832"/>
      <c r="NX405" s="832"/>
      <c r="NY405" s="832"/>
      <c r="NZ405" s="832"/>
      <c r="OA405" s="832"/>
      <c r="OB405" s="832"/>
      <c r="OC405" s="832"/>
      <c r="OD405" s="832"/>
      <c r="OE405" s="832"/>
      <c r="OF405" s="832"/>
      <c r="OG405" s="832"/>
      <c r="OH405" s="832"/>
      <c r="OI405" s="832"/>
      <c r="OJ405" s="832"/>
      <c r="OK405" s="832"/>
      <c r="OL405" s="832"/>
      <c r="OM405" s="832"/>
      <c r="ON405" s="832"/>
      <c r="OO405" s="832"/>
      <c r="OP405" s="832"/>
      <c r="OQ405" s="832"/>
      <c r="OR405" s="832"/>
      <c r="OS405" s="832"/>
      <c r="OT405" s="832"/>
      <c r="OU405" s="832"/>
      <c r="OV405" s="832"/>
      <c r="OW405" s="832"/>
      <c r="OX405" s="832"/>
      <c r="OY405" s="832"/>
      <c r="OZ405" s="832"/>
      <c r="PA405" s="832"/>
      <c r="PB405" s="832"/>
      <c r="PC405" s="832"/>
      <c r="PD405" s="832"/>
      <c r="PE405" s="832"/>
      <c r="PF405" s="832"/>
      <c r="PG405" s="832"/>
      <c r="PH405" s="832"/>
      <c r="PI405" s="832"/>
      <c r="PJ405" s="832"/>
      <c r="PK405" s="832"/>
      <c r="PL405" s="832"/>
      <c r="PM405" s="832"/>
      <c r="PN405" s="832"/>
      <c r="PO405" s="832"/>
      <c r="PP405" s="832"/>
      <c r="PQ405" s="832"/>
      <c r="PR405" s="832"/>
      <c r="PS405" s="832"/>
      <c r="PT405" s="832"/>
      <c r="PU405" s="832"/>
      <c r="PV405" s="832"/>
      <c r="PW405" s="832"/>
      <c r="PX405" s="832"/>
      <c r="PY405" s="832"/>
      <c r="PZ405" s="832"/>
      <c r="QA405" s="832"/>
      <c r="QB405" s="832"/>
      <c r="QC405" s="832"/>
      <c r="QD405" s="832"/>
      <c r="QE405" s="832"/>
      <c r="QF405" s="832"/>
      <c r="QG405" s="832"/>
      <c r="QH405" s="832"/>
      <c r="QI405" s="832"/>
      <c r="QJ405" s="832"/>
      <c r="QK405" s="832"/>
      <c r="QL405" s="832"/>
      <c r="QM405" s="832"/>
      <c r="QN405" s="832"/>
      <c r="QO405" s="832"/>
      <c r="QP405" s="832"/>
      <c r="QQ405" s="832"/>
      <c r="QR405" s="832"/>
      <c r="QS405" s="832"/>
      <c r="QT405" s="832"/>
      <c r="QU405" s="832"/>
      <c r="QV405" s="832"/>
      <c r="QW405" s="832"/>
      <c r="QX405" s="832"/>
      <c r="QY405" s="832"/>
      <c r="QZ405" s="832"/>
      <c r="RA405" s="832"/>
      <c r="RB405" s="832"/>
      <c r="RC405" s="832"/>
      <c r="RD405" s="832"/>
      <c r="RE405" s="832"/>
      <c r="RF405" s="832"/>
      <c r="RG405" s="832"/>
      <c r="RH405" s="832"/>
      <c r="RI405" s="832"/>
      <c r="RJ405" s="832"/>
      <c r="RK405" s="832"/>
      <c r="RL405" s="832"/>
      <c r="RM405" s="832"/>
      <c r="RN405" s="832"/>
      <c r="RO405" s="832"/>
      <c r="RP405" s="832"/>
      <c r="RQ405" s="832"/>
      <c r="RR405" s="832"/>
      <c r="RS405" s="832"/>
      <c r="RT405" s="832"/>
      <c r="RU405" s="832"/>
      <c r="RV405" s="832"/>
      <c r="RW405" s="832"/>
      <c r="RX405" s="832"/>
      <c r="RY405" s="832"/>
      <c r="RZ405" s="832"/>
      <c r="SA405" s="832"/>
      <c r="SB405" s="832"/>
      <c r="SC405" s="832"/>
      <c r="SD405" s="832"/>
      <c r="SE405" s="832"/>
      <c r="SF405" s="832"/>
      <c r="SG405" s="832"/>
      <c r="SH405" s="832"/>
      <c r="SI405" s="832"/>
      <c r="SJ405" s="832"/>
      <c r="SK405" s="832"/>
      <c r="SL405" s="832"/>
      <c r="SM405" s="832"/>
      <c r="SN405" s="832"/>
      <c r="SO405" s="832"/>
      <c r="SP405" s="832"/>
      <c r="SQ405" s="832"/>
      <c r="SR405" s="832"/>
      <c r="SS405" s="832"/>
      <c r="ST405" s="832"/>
      <c r="SU405" s="832"/>
      <c r="SV405" s="832"/>
      <c r="SW405" s="832"/>
      <c r="SX405" s="832"/>
      <c r="SY405" s="832"/>
      <c r="SZ405" s="832"/>
      <c r="TA405" s="832"/>
      <c r="TB405" s="832"/>
      <c r="TC405" s="832"/>
      <c r="TD405" s="832"/>
      <c r="TE405" s="832"/>
      <c r="TF405" s="832"/>
      <c r="TG405" s="832"/>
      <c r="TH405" s="832"/>
      <c r="TI405" s="832"/>
      <c r="TJ405" s="832"/>
      <c r="TK405" s="832"/>
      <c r="TL405" s="832"/>
      <c r="TM405" s="832"/>
      <c r="TN405" s="832"/>
      <c r="TO405" s="832"/>
      <c r="TP405" s="832"/>
      <c r="TQ405" s="832"/>
      <c r="TR405" s="832"/>
      <c r="TS405" s="832"/>
      <c r="TT405" s="832"/>
      <c r="TU405" s="832"/>
      <c r="TV405" s="832"/>
      <c r="TW405" s="832"/>
      <c r="TX405" s="832"/>
      <c r="TY405" s="832"/>
      <c r="TZ405" s="832"/>
      <c r="UA405" s="832"/>
      <c r="UB405" s="832"/>
      <c r="UC405" s="832"/>
      <c r="UD405" s="832"/>
      <c r="UE405" s="832"/>
      <c r="UF405" s="832"/>
      <c r="UG405" s="832"/>
      <c r="UH405" s="832"/>
      <c r="UI405" s="832"/>
      <c r="UJ405" s="832"/>
      <c r="UK405" s="832"/>
      <c r="UL405" s="832"/>
      <c r="UM405" s="832"/>
      <c r="UN405" s="832"/>
      <c r="UO405" s="832"/>
      <c r="UP405" s="832"/>
      <c r="UQ405" s="832"/>
      <c r="UR405" s="832"/>
      <c r="US405" s="832"/>
      <c r="UT405" s="832"/>
      <c r="UU405" s="832"/>
      <c r="UV405" s="832"/>
      <c r="UW405" s="832"/>
      <c r="UX405" s="832"/>
      <c r="UY405" s="832"/>
      <c r="UZ405" s="832"/>
      <c r="VA405" s="832"/>
      <c r="VB405" s="832"/>
      <c r="VC405" s="832"/>
      <c r="VD405" s="832"/>
      <c r="VE405" s="832"/>
      <c r="VF405" s="832"/>
      <c r="VG405" s="832"/>
      <c r="VH405" s="832"/>
      <c r="VI405" s="832"/>
      <c r="VJ405" s="832"/>
      <c r="VK405" s="832"/>
      <c r="VL405" s="832"/>
      <c r="VM405" s="832"/>
      <c r="VN405" s="832"/>
      <c r="VO405" s="832"/>
      <c r="VP405" s="832"/>
      <c r="VQ405" s="832"/>
      <c r="VR405" s="832"/>
      <c r="VS405" s="832"/>
      <c r="VT405" s="832"/>
      <c r="VU405" s="832"/>
      <c r="VV405" s="832"/>
      <c r="VW405" s="832"/>
      <c r="VX405" s="832"/>
      <c r="VY405" s="832"/>
      <c r="VZ405" s="832"/>
      <c r="WA405" s="832"/>
      <c r="WB405" s="832"/>
      <c r="WC405" s="832"/>
      <c r="WD405" s="832"/>
      <c r="WE405" s="832"/>
      <c r="WF405" s="832"/>
      <c r="WG405" s="832"/>
      <c r="WH405" s="832"/>
      <c r="WI405" s="832"/>
      <c r="WJ405" s="832"/>
      <c r="WK405" s="832"/>
      <c r="WL405" s="832"/>
      <c r="WM405" s="832"/>
      <c r="WN405" s="832"/>
      <c r="WO405" s="832"/>
      <c r="WP405" s="832"/>
      <c r="WQ405" s="832"/>
      <c r="WR405" s="832"/>
      <c r="WS405" s="832"/>
      <c r="WT405" s="832"/>
      <c r="WU405" s="832"/>
      <c r="WV405" s="832"/>
      <c r="WW405" s="832"/>
      <c r="WX405" s="832"/>
      <c r="WY405" s="832"/>
      <c r="WZ405" s="832"/>
      <c r="XA405" s="832"/>
      <c r="XB405" s="832"/>
      <c r="XC405" s="832"/>
      <c r="XD405" s="832"/>
      <c r="XE405" s="832"/>
      <c r="XF405" s="832"/>
      <c r="XG405" s="832"/>
      <c r="XH405" s="832"/>
      <c r="XI405" s="832"/>
      <c r="XJ405" s="832"/>
      <c r="XK405" s="832"/>
      <c r="XL405" s="832"/>
      <c r="XM405" s="832"/>
      <c r="XN405" s="832"/>
      <c r="XO405" s="832"/>
      <c r="XP405" s="832"/>
      <c r="XQ405" s="832"/>
      <c r="XR405" s="832"/>
      <c r="XS405" s="832"/>
      <c r="XT405" s="832"/>
      <c r="XU405" s="832"/>
      <c r="XV405" s="832"/>
      <c r="XW405" s="832"/>
      <c r="XX405" s="832"/>
      <c r="XY405" s="832"/>
      <c r="XZ405" s="832"/>
      <c r="YA405" s="832"/>
      <c r="YB405" s="832"/>
      <c r="YC405" s="832"/>
      <c r="YD405" s="832"/>
      <c r="YE405" s="832"/>
      <c r="YF405" s="832"/>
      <c r="YG405" s="832"/>
      <c r="YH405" s="832"/>
      <c r="YI405" s="832"/>
      <c r="YJ405" s="832"/>
      <c r="YK405" s="832"/>
      <c r="YL405" s="832"/>
      <c r="YM405" s="832"/>
      <c r="YN405" s="832"/>
      <c r="YO405" s="832"/>
      <c r="YP405" s="832"/>
      <c r="YQ405" s="832"/>
      <c r="YR405" s="832"/>
      <c r="YS405" s="832"/>
      <c r="YT405" s="832"/>
      <c r="YU405" s="832"/>
      <c r="YV405" s="832"/>
      <c r="YW405" s="832"/>
      <c r="YX405" s="832"/>
      <c r="YY405" s="832"/>
      <c r="YZ405" s="832"/>
      <c r="ZA405" s="832"/>
      <c r="ZB405" s="832"/>
      <c r="ZC405" s="832"/>
      <c r="ZD405" s="832"/>
      <c r="ZE405" s="832"/>
      <c r="ZF405" s="832"/>
      <c r="ZG405" s="832"/>
      <c r="ZH405" s="832"/>
      <c r="ZI405" s="832"/>
      <c r="ZJ405" s="832"/>
      <c r="ZK405" s="832"/>
      <c r="ZL405" s="832"/>
      <c r="ZM405" s="832"/>
      <c r="ZN405" s="832"/>
      <c r="ZO405" s="832"/>
      <c r="ZP405" s="832"/>
      <c r="ZQ405" s="832"/>
      <c r="ZR405" s="832"/>
      <c r="ZS405" s="832"/>
      <c r="ZT405" s="832"/>
      <c r="ZU405" s="832"/>
      <c r="ZV405" s="832"/>
      <c r="ZW405" s="832"/>
      <c r="ZX405" s="832"/>
      <c r="ZY405" s="832"/>
      <c r="ZZ405" s="832"/>
      <c r="AAA405" s="832"/>
      <c r="AAB405" s="832"/>
      <c r="AAC405" s="832"/>
      <c r="AAD405" s="832"/>
      <c r="AAE405" s="832"/>
      <c r="AAF405" s="832"/>
      <c r="AAG405" s="832"/>
      <c r="AAH405" s="832"/>
      <c r="AAI405" s="832"/>
      <c r="AAJ405" s="832"/>
      <c r="AAK405" s="832"/>
      <c r="AAL405" s="832"/>
      <c r="AAM405" s="832"/>
      <c r="AAN405" s="832"/>
      <c r="AAO405" s="832"/>
      <c r="AAP405" s="832"/>
      <c r="AAQ405" s="832"/>
      <c r="AAR405" s="832"/>
      <c r="AAS405" s="832"/>
      <c r="AAT405" s="832"/>
      <c r="AAU405" s="832"/>
      <c r="AAV405" s="832"/>
      <c r="AAW405" s="832"/>
      <c r="AAX405" s="832"/>
      <c r="AAY405" s="832"/>
      <c r="AAZ405" s="832"/>
      <c r="ABA405" s="832"/>
      <c r="ABB405" s="832"/>
      <c r="ABC405" s="832"/>
      <c r="ABD405" s="832"/>
      <c r="ABE405" s="832"/>
      <c r="ABF405" s="832"/>
      <c r="ABG405" s="832"/>
      <c r="ABH405" s="832"/>
      <c r="ABI405" s="832"/>
      <c r="ABJ405" s="832"/>
      <c r="ABK405" s="832"/>
      <c r="ABL405" s="832"/>
      <c r="ABM405" s="832"/>
      <c r="ABN405" s="832"/>
      <c r="ABO405" s="832"/>
      <c r="ABP405" s="832"/>
      <c r="ABQ405" s="832"/>
      <c r="ABR405" s="832"/>
      <c r="ABS405" s="832"/>
      <c r="ABT405" s="832"/>
      <c r="ABU405" s="832"/>
      <c r="ABV405" s="832"/>
      <c r="ABW405" s="832"/>
      <c r="ABX405" s="832"/>
      <c r="ABY405" s="832"/>
      <c r="ABZ405" s="832"/>
      <c r="ACA405" s="832"/>
      <c r="ACB405" s="832"/>
      <c r="ACC405" s="832"/>
      <c r="ACD405" s="832"/>
      <c r="ACE405" s="832"/>
      <c r="ACF405" s="832"/>
      <c r="ACG405" s="832"/>
      <c r="ACH405" s="832"/>
      <c r="ACI405" s="832"/>
      <c r="ACJ405" s="832"/>
      <c r="ACK405" s="832"/>
      <c r="ACL405" s="832"/>
      <c r="ACM405" s="832"/>
      <c r="ACN405" s="832"/>
      <c r="ACO405" s="832"/>
      <c r="ACP405" s="832"/>
      <c r="ACQ405" s="832"/>
      <c r="ACR405" s="832"/>
      <c r="ACS405" s="832"/>
      <c r="ACT405" s="832"/>
      <c r="ACU405" s="832"/>
      <c r="ACV405" s="832"/>
      <c r="ACW405" s="832"/>
      <c r="ACX405" s="832"/>
      <c r="ACY405" s="832"/>
      <c r="ACZ405" s="832"/>
      <c r="ADA405" s="832"/>
      <c r="ADB405" s="832"/>
      <c r="ADC405" s="832"/>
      <c r="ADD405" s="832"/>
      <c r="ADE405" s="832"/>
      <c r="ADF405" s="832"/>
      <c r="ADG405" s="832"/>
      <c r="ADH405" s="832"/>
      <c r="ADI405" s="832"/>
      <c r="ADJ405" s="832"/>
      <c r="ADK405" s="832"/>
      <c r="ADL405" s="832"/>
      <c r="ADM405" s="832"/>
      <c r="ADN405" s="832"/>
      <c r="ADO405" s="832"/>
      <c r="ADP405" s="832"/>
      <c r="ADQ405" s="832"/>
      <c r="ADR405" s="832"/>
      <c r="ADS405" s="832"/>
      <c r="ADT405" s="832"/>
      <c r="ADU405" s="832"/>
      <c r="ADV405" s="832"/>
      <c r="ADW405" s="832"/>
      <c r="ADX405" s="832"/>
      <c r="ADY405" s="832"/>
      <c r="ADZ405" s="832"/>
      <c r="AEA405" s="832"/>
      <c r="AEB405" s="832"/>
      <c r="AEC405" s="832"/>
      <c r="AED405" s="832"/>
      <c r="AEE405" s="832"/>
      <c r="AEF405" s="832"/>
      <c r="AEG405" s="832"/>
      <c r="AEH405" s="832"/>
      <c r="AEI405" s="832"/>
      <c r="AEJ405" s="832"/>
      <c r="AEK405" s="832"/>
      <c r="AEL405" s="832"/>
      <c r="AEM405" s="832"/>
      <c r="AEN405" s="832"/>
      <c r="AEO405" s="832"/>
      <c r="AEP405" s="832"/>
      <c r="AEQ405" s="832"/>
      <c r="AER405" s="832"/>
      <c r="AES405" s="832"/>
      <c r="AET405" s="832"/>
      <c r="AEU405" s="832"/>
      <c r="AEV405" s="832"/>
      <c r="AEW405" s="832"/>
      <c r="AEX405" s="832"/>
      <c r="AEY405" s="832"/>
      <c r="AEZ405" s="832"/>
      <c r="AFA405" s="832"/>
      <c r="AFB405" s="832"/>
      <c r="AFC405" s="832"/>
      <c r="AFD405" s="832"/>
      <c r="AFE405" s="832"/>
      <c r="AFF405" s="832"/>
      <c r="AFG405" s="832"/>
      <c r="AFH405" s="832"/>
      <c r="AFI405" s="832"/>
      <c r="AFJ405" s="832"/>
      <c r="AFK405" s="832"/>
      <c r="AFL405" s="832"/>
      <c r="AFM405" s="832"/>
      <c r="AFN405" s="832"/>
      <c r="AFO405" s="832"/>
      <c r="AFP405" s="832"/>
      <c r="AFQ405" s="832"/>
      <c r="AFR405" s="832"/>
      <c r="AFS405" s="832"/>
      <c r="AFT405" s="832"/>
      <c r="AFU405" s="832"/>
      <c r="AFV405" s="832"/>
      <c r="AFW405" s="832"/>
      <c r="AFX405" s="832"/>
      <c r="AFY405" s="832"/>
      <c r="AFZ405" s="832"/>
      <c r="AGA405" s="832"/>
      <c r="AGB405" s="832"/>
      <c r="AGC405" s="832"/>
      <c r="AGD405" s="832"/>
      <c r="AGE405" s="832"/>
      <c r="AGF405" s="832"/>
      <c r="AGG405" s="832"/>
      <c r="AGH405" s="832"/>
      <c r="AGI405" s="832"/>
      <c r="AGJ405" s="832"/>
      <c r="AGK405" s="832"/>
      <c r="AGL405" s="832"/>
      <c r="AGM405" s="832"/>
      <c r="AGN405" s="832"/>
      <c r="AGO405" s="832"/>
      <c r="AGP405" s="832"/>
      <c r="AGQ405" s="832"/>
      <c r="AGR405" s="832"/>
      <c r="AGS405" s="832"/>
      <c r="AGT405" s="832"/>
      <c r="AGU405" s="832"/>
      <c r="AGV405" s="832"/>
      <c r="AGW405" s="832"/>
      <c r="AGX405" s="832"/>
      <c r="AGY405" s="832"/>
      <c r="AGZ405" s="832"/>
      <c r="AHA405" s="832"/>
      <c r="AHB405" s="832"/>
      <c r="AHC405" s="832"/>
      <c r="AHD405" s="832"/>
      <c r="AHE405" s="832"/>
      <c r="AHF405" s="832"/>
      <c r="AHG405" s="832"/>
      <c r="AHH405" s="832"/>
      <c r="AHI405" s="832"/>
      <c r="AHJ405" s="832"/>
      <c r="AHK405" s="832"/>
      <c r="AHL405" s="832"/>
      <c r="AHM405" s="832"/>
      <c r="AHN405" s="832"/>
      <c r="AHO405" s="832"/>
      <c r="AHP405" s="832"/>
      <c r="AHQ405" s="832"/>
      <c r="AHR405" s="832"/>
      <c r="AHS405" s="832"/>
      <c r="AHT405" s="832"/>
      <c r="AHU405" s="832"/>
      <c r="AHV405" s="832"/>
      <c r="AHW405" s="832"/>
      <c r="AHX405" s="832"/>
      <c r="AHY405" s="832"/>
      <c r="AHZ405" s="832"/>
      <c r="AIA405" s="832"/>
      <c r="AIB405" s="832"/>
      <c r="AIC405" s="832"/>
      <c r="AID405" s="832"/>
      <c r="AIE405" s="832"/>
      <c r="AIF405" s="832"/>
      <c r="AIG405" s="832"/>
      <c r="AIH405" s="832"/>
      <c r="AII405" s="832"/>
      <c r="AIJ405" s="832"/>
      <c r="AIK405" s="832"/>
      <c r="AIL405" s="832"/>
      <c r="AIM405" s="832"/>
      <c r="AIN405" s="832"/>
      <c r="AIO405" s="832"/>
      <c r="AIP405" s="832"/>
      <c r="AIQ405" s="832"/>
      <c r="AIR405" s="832"/>
      <c r="AIS405" s="832"/>
      <c r="AIT405" s="832"/>
      <c r="AIU405" s="832"/>
      <c r="AIV405" s="832"/>
      <c r="AIW405" s="832"/>
      <c r="AIX405" s="832"/>
      <c r="AIY405" s="832"/>
      <c r="AIZ405" s="832"/>
      <c r="AJA405" s="832"/>
      <c r="AJB405" s="832"/>
      <c r="AJC405" s="832"/>
      <c r="AJD405" s="832"/>
      <c r="AJE405" s="832"/>
      <c r="AJF405" s="832"/>
      <c r="AJG405" s="832"/>
      <c r="AJH405" s="832"/>
      <c r="AJI405" s="832"/>
      <c r="AJJ405" s="832"/>
      <c r="AJK405" s="832"/>
      <c r="AJL405" s="832"/>
      <c r="AJM405" s="832"/>
      <c r="AJN405" s="832"/>
      <c r="AJO405" s="832"/>
      <c r="AJP405" s="832"/>
      <c r="AJQ405" s="832"/>
      <c r="AJR405" s="832"/>
      <c r="AJS405" s="832"/>
      <c r="AJT405" s="832"/>
      <c r="AJU405" s="832"/>
      <c r="AJV405" s="832"/>
      <c r="AJW405" s="832"/>
      <c r="AJX405" s="832"/>
      <c r="AJY405" s="832"/>
      <c r="AJZ405" s="832"/>
      <c r="AKA405" s="832"/>
      <c r="AKB405" s="832"/>
      <c r="AKC405" s="832"/>
      <c r="AKD405" s="832"/>
      <c r="AKE405" s="832"/>
      <c r="AKF405" s="832"/>
      <c r="AKG405" s="832"/>
      <c r="AKH405" s="832"/>
      <c r="AKI405" s="832"/>
      <c r="AKJ405" s="832"/>
      <c r="AKK405" s="832"/>
      <c r="AKL405" s="832"/>
      <c r="AKM405" s="832"/>
      <c r="AKN405" s="832"/>
      <c r="AKO405" s="832"/>
      <c r="AKP405" s="832"/>
      <c r="AKQ405" s="832"/>
      <c r="AKR405" s="832"/>
      <c r="AKS405" s="832"/>
      <c r="AKT405" s="832"/>
      <c r="AKU405" s="832"/>
      <c r="AKV405" s="832"/>
      <c r="AKW405" s="832"/>
      <c r="AKX405" s="832"/>
      <c r="AKY405" s="832"/>
      <c r="AKZ405" s="832"/>
      <c r="ALA405" s="832"/>
      <c r="ALB405" s="832"/>
      <c r="ALC405" s="832"/>
      <c r="ALD405" s="832"/>
      <c r="ALE405" s="832"/>
      <c r="ALF405" s="832"/>
      <c r="ALG405" s="832"/>
      <c r="ALH405" s="832"/>
      <c r="ALI405" s="832"/>
      <c r="ALJ405" s="832"/>
      <c r="ALK405" s="832"/>
      <c r="ALL405" s="832"/>
      <c r="ALM405" s="832"/>
      <c r="ALN405" s="832"/>
      <c r="ALO405" s="832"/>
      <c r="ALP405" s="832"/>
      <c r="ALQ405" s="832"/>
      <c r="ALR405" s="832"/>
      <c r="ALS405" s="832"/>
      <c r="ALT405" s="832"/>
      <c r="ALU405" s="832"/>
      <c r="ALV405" s="832"/>
      <c r="ALW405" s="832"/>
      <c r="ALX405" s="832"/>
      <c r="ALY405" s="832"/>
      <c r="ALZ405" s="832"/>
      <c r="AMA405" s="832"/>
      <c r="AMB405" s="832"/>
      <c r="AMC405" s="832"/>
      <c r="AMD405" s="832"/>
      <c r="AME405" s="832"/>
      <c r="AMF405" s="832"/>
      <c r="AMG405" s="832"/>
      <c r="AMH405" s="832"/>
      <c r="AMI405" s="832"/>
      <c r="AMJ405" s="832"/>
      <c r="AMK405" s="832"/>
      <c r="AML405" s="832"/>
    </row>
    <row r="406" spans="1:1026" ht="36" customHeight="1" outlineLevel="1">
      <c r="A406" s="844"/>
      <c r="B406" s="444" t="s">
        <v>1063</v>
      </c>
      <c r="C406" s="879" t="s">
        <v>1064</v>
      </c>
      <c r="D406" s="448" t="s">
        <v>1065</v>
      </c>
      <c r="E406" s="444" t="s">
        <v>38</v>
      </c>
      <c r="F406" s="992">
        <f>Plan1!D378</f>
        <v>7</v>
      </c>
      <c r="G406" s="893">
        <f t="shared" si="121"/>
        <v>220.04</v>
      </c>
      <c r="H406" s="883">
        <f t="shared" si="122"/>
        <v>1540.28</v>
      </c>
      <c r="I406" s="844"/>
      <c r="J406" s="841">
        <v>173.79</v>
      </c>
      <c r="K406" s="842">
        <f t="shared" si="109"/>
        <v>220.04</v>
      </c>
    </row>
    <row r="407" spans="1:1026" ht="42" customHeight="1" outlineLevel="1">
      <c r="A407" s="844"/>
      <c r="B407" s="444" t="s">
        <v>1066</v>
      </c>
      <c r="C407" s="879" t="s">
        <v>1067</v>
      </c>
      <c r="D407" s="443" t="s">
        <v>1068</v>
      </c>
      <c r="E407" s="444" t="s">
        <v>38</v>
      </c>
      <c r="F407" s="987">
        <f>('BANCADAS E SOLEIRAS'!F61)+(TELHADOS!D31)</f>
        <v>615.30999999999995</v>
      </c>
      <c r="G407" s="893">
        <f t="shared" si="121"/>
        <v>80.040000000000006</v>
      </c>
      <c r="H407" s="883">
        <f t="shared" si="122"/>
        <v>49249.412400000001</v>
      </c>
      <c r="I407" s="844"/>
      <c r="J407" s="841">
        <v>63.22</v>
      </c>
      <c r="K407" s="842">
        <f t="shared" si="109"/>
        <v>80.040000000000006</v>
      </c>
    </row>
    <row r="408" spans="1:1026" ht="38.25" customHeight="1" outlineLevel="1">
      <c r="A408" s="844"/>
      <c r="B408" s="444" t="s">
        <v>1069</v>
      </c>
      <c r="C408" s="879" t="s">
        <v>1070</v>
      </c>
      <c r="D408" s="443" t="s">
        <v>1071</v>
      </c>
      <c r="E408" s="444" t="s">
        <v>27</v>
      </c>
      <c r="F408" s="987">
        <f>'GRADIL - A.VERDE - Á EXT.'!C24</f>
        <v>257.29000000000002</v>
      </c>
      <c r="G408" s="893">
        <f t="shared" si="121"/>
        <v>19.809999999999999</v>
      </c>
      <c r="H408" s="883">
        <f t="shared" si="122"/>
        <v>5096.9148999999998</v>
      </c>
      <c r="I408" s="844"/>
      <c r="J408" s="841">
        <v>15.65</v>
      </c>
      <c r="K408" s="842">
        <f t="shared" si="109"/>
        <v>19.809999999999999</v>
      </c>
    </row>
    <row r="409" spans="1:1026" ht="38.25" customHeight="1" outlineLevel="1">
      <c r="A409" s="844"/>
      <c r="B409" s="444" t="s">
        <v>1072</v>
      </c>
      <c r="C409" s="879" t="s">
        <v>1073</v>
      </c>
      <c r="D409" s="443" t="s">
        <v>1074</v>
      </c>
      <c r="E409" s="444" t="s">
        <v>60</v>
      </c>
      <c r="F409" s="987">
        <f>Plan1!D381</f>
        <v>5</v>
      </c>
      <c r="G409" s="893">
        <f t="shared" si="121"/>
        <v>109.33</v>
      </c>
      <c r="H409" s="883">
        <f t="shared" si="122"/>
        <v>546.65</v>
      </c>
      <c r="I409" s="844"/>
      <c r="J409" s="841">
        <v>86.35</v>
      </c>
      <c r="K409" s="842">
        <f t="shared" si="109"/>
        <v>109.33</v>
      </c>
    </row>
    <row r="410" spans="1:1026" ht="36.75" customHeight="1" outlineLevel="1">
      <c r="A410" s="844"/>
      <c r="B410" s="444" t="s">
        <v>1075</v>
      </c>
      <c r="C410" s="879" t="s">
        <v>1076</v>
      </c>
      <c r="D410" s="443" t="s">
        <v>1077</v>
      </c>
      <c r="E410" s="444" t="s">
        <v>60</v>
      </c>
      <c r="F410" s="987">
        <f>Plan1!D382</f>
        <v>1</v>
      </c>
      <c r="G410" s="893">
        <f t="shared" ref="G410:G421" si="123">K410</f>
        <v>1701.33</v>
      </c>
      <c r="H410" s="883">
        <f t="shared" ref="H410:H421" si="124">F410*G410</f>
        <v>1701.33</v>
      </c>
      <c r="I410" s="844"/>
      <c r="J410" s="841">
        <v>1343.76</v>
      </c>
      <c r="K410" s="842">
        <f t="shared" si="109"/>
        <v>1701.33</v>
      </c>
    </row>
    <row r="411" spans="1:1026" s="388" customFormat="1" ht="35.25" customHeight="1" outlineLevel="1">
      <c r="A411" s="885"/>
      <c r="B411" s="444" t="s">
        <v>1078</v>
      </c>
      <c r="C411" s="886" t="s">
        <v>907</v>
      </c>
      <c r="D411" s="451" t="s">
        <v>908</v>
      </c>
      <c r="E411" s="449" t="s">
        <v>60</v>
      </c>
      <c r="F411" s="987">
        <f>Plan1!D383</f>
        <v>2</v>
      </c>
      <c r="G411" s="925">
        <f t="shared" si="123"/>
        <v>284.58</v>
      </c>
      <c r="H411" s="889">
        <f t="shared" si="124"/>
        <v>569.16</v>
      </c>
      <c r="I411" s="885"/>
      <c r="J411" s="915">
        <v>224.77</v>
      </c>
      <c r="K411" s="916">
        <f t="shared" si="109"/>
        <v>284.58</v>
      </c>
      <c r="L411" s="832"/>
      <c r="M411" s="832"/>
      <c r="N411" s="832"/>
      <c r="O411" s="832"/>
      <c r="P411" s="832"/>
      <c r="Q411" s="832"/>
      <c r="R411" s="832"/>
      <c r="S411" s="832"/>
      <c r="T411" s="832"/>
      <c r="U411" s="832"/>
      <c r="V411" s="832"/>
      <c r="W411" s="832"/>
      <c r="X411" s="832"/>
      <c r="Y411" s="832"/>
      <c r="Z411" s="832"/>
      <c r="AA411" s="832"/>
      <c r="AB411" s="832"/>
      <c r="AC411" s="832"/>
      <c r="AD411" s="832"/>
      <c r="AE411" s="832"/>
      <c r="AF411" s="832"/>
      <c r="AG411" s="832"/>
      <c r="AH411" s="832"/>
      <c r="AI411" s="832"/>
      <c r="AJ411" s="832"/>
      <c r="AK411" s="832"/>
      <c r="AL411" s="832"/>
      <c r="AM411" s="832"/>
      <c r="AN411" s="832"/>
      <c r="AO411" s="832"/>
      <c r="AP411" s="832"/>
      <c r="AQ411" s="832"/>
      <c r="AR411" s="832"/>
      <c r="AS411" s="832"/>
      <c r="AT411" s="832"/>
      <c r="AU411" s="832"/>
      <c r="AV411" s="832"/>
      <c r="AW411" s="832"/>
      <c r="AX411" s="832"/>
      <c r="AY411" s="832"/>
      <c r="AZ411" s="832"/>
      <c r="BA411" s="832"/>
      <c r="BB411" s="832"/>
      <c r="BC411" s="832"/>
      <c r="BD411" s="832"/>
      <c r="BE411" s="832"/>
      <c r="BF411" s="832"/>
      <c r="BG411" s="832"/>
      <c r="BH411" s="832"/>
      <c r="BI411" s="832"/>
      <c r="BJ411" s="832"/>
      <c r="BK411" s="832"/>
      <c r="BL411" s="832"/>
      <c r="BM411" s="832"/>
      <c r="BN411" s="832"/>
      <c r="BO411" s="832"/>
      <c r="BP411" s="832"/>
      <c r="BQ411" s="832"/>
      <c r="BR411" s="832"/>
      <c r="BS411" s="832"/>
      <c r="BT411" s="832"/>
      <c r="BU411" s="832"/>
      <c r="BV411" s="832"/>
      <c r="BW411" s="832"/>
      <c r="BX411" s="832"/>
      <c r="BY411" s="832"/>
      <c r="BZ411" s="832"/>
      <c r="CA411" s="832"/>
      <c r="CB411" s="832"/>
      <c r="CC411" s="832"/>
      <c r="CD411" s="832"/>
      <c r="CE411" s="832"/>
      <c r="CF411" s="832"/>
      <c r="CG411" s="832"/>
      <c r="CH411" s="832"/>
      <c r="CI411" s="832"/>
      <c r="CJ411" s="832"/>
      <c r="CK411" s="832"/>
      <c r="CL411" s="832"/>
      <c r="CM411" s="832"/>
      <c r="CN411" s="832"/>
      <c r="CO411" s="832"/>
      <c r="CP411" s="832"/>
      <c r="CQ411" s="832"/>
      <c r="CR411" s="832"/>
      <c r="CS411" s="832"/>
      <c r="CT411" s="832"/>
      <c r="CU411" s="832"/>
      <c r="CV411" s="832"/>
      <c r="CW411" s="832"/>
      <c r="CX411" s="832"/>
      <c r="CY411" s="832"/>
      <c r="CZ411" s="832"/>
      <c r="DA411" s="832"/>
      <c r="DB411" s="832"/>
      <c r="DC411" s="832"/>
      <c r="DD411" s="832"/>
      <c r="DE411" s="832"/>
      <c r="DF411" s="832"/>
      <c r="DG411" s="832"/>
      <c r="DH411" s="832"/>
      <c r="DI411" s="832"/>
      <c r="DJ411" s="832"/>
      <c r="DK411" s="832"/>
      <c r="DL411" s="832"/>
      <c r="DM411" s="832"/>
      <c r="DN411" s="832"/>
      <c r="DO411" s="832"/>
      <c r="DP411" s="832"/>
      <c r="DQ411" s="832"/>
      <c r="DR411" s="832"/>
      <c r="DS411" s="832"/>
      <c r="DT411" s="832"/>
      <c r="DU411" s="832"/>
      <c r="DV411" s="832"/>
      <c r="DW411" s="832"/>
      <c r="DX411" s="832"/>
      <c r="DY411" s="832"/>
      <c r="DZ411" s="832"/>
      <c r="EA411" s="832"/>
      <c r="EB411" s="832"/>
      <c r="EC411" s="832"/>
      <c r="ED411" s="832"/>
      <c r="EE411" s="832"/>
      <c r="EF411" s="832"/>
      <c r="EG411" s="832"/>
      <c r="EH411" s="832"/>
      <c r="EI411" s="832"/>
      <c r="EJ411" s="832"/>
      <c r="EK411" s="832"/>
      <c r="EL411" s="832"/>
      <c r="EM411" s="832"/>
      <c r="EN411" s="832"/>
      <c r="EO411" s="832"/>
      <c r="EP411" s="832"/>
      <c r="EQ411" s="832"/>
      <c r="ER411" s="832"/>
      <c r="ES411" s="832"/>
      <c r="ET411" s="832"/>
      <c r="EU411" s="832"/>
      <c r="EV411" s="832"/>
      <c r="EW411" s="832"/>
      <c r="EX411" s="832"/>
      <c r="EY411" s="832"/>
      <c r="EZ411" s="832"/>
      <c r="FA411" s="832"/>
      <c r="FB411" s="832"/>
      <c r="FC411" s="832"/>
      <c r="FD411" s="832"/>
      <c r="FE411" s="832"/>
      <c r="FF411" s="832"/>
      <c r="FG411" s="832"/>
      <c r="FH411" s="832"/>
      <c r="FI411" s="832"/>
      <c r="FJ411" s="832"/>
      <c r="FK411" s="832"/>
      <c r="FL411" s="832"/>
      <c r="FM411" s="832"/>
      <c r="FN411" s="832"/>
      <c r="FO411" s="832"/>
      <c r="FP411" s="832"/>
      <c r="FQ411" s="832"/>
      <c r="FR411" s="832"/>
      <c r="FS411" s="832"/>
      <c r="FT411" s="832"/>
      <c r="FU411" s="832"/>
      <c r="FV411" s="832"/>
      <c r="FW411" s="832"/>
      <c r="FX411" s="832"/>
      <c r="FY411" s="832"/>
      <c r="FZ411" s="832"/>
      <c r="GA411" s="832"/>
      <c r="GB411" s="832"/>
      <c r="GC411" s="832"/>
      <c r="GD411" s="832"/>
      <c r="GE411" s="832"/>
      <c r="GF411" s="832"/>
      <c r="GG411" s="832"/>
      <c r="GH411" s="832"/>
      <c r="GI411" s="832"/>
      <c r="GJ411" s="832"/>
      <c r="GK411" s="832"/>
      <c r="GL411" s="832"/>
      <c r="GM411" s="832"/>
      <c r="GN411" s="832"/>
      <c r="GO411" s="832"/>
      <c r="GP411" s="832"/>
      <c r="GQ411" s="832"/>
      <c r="GR411" s="832"/>
      <c r="GS411" s="832"/>
      <c r="GT411" s="832"/>
      <c r="GU411" s="832"/>
      <c r="GV411" s="832"/>
      <c r="GW411" s="832"/>
      <c r="GX411" s="832"/>
      <c r="GY411" s="832"/>
      <c r="GZ411" s="832"/>
      <c r="HA411" s="832"/>
      <c r="HB411" s="832"/>
      <c r="HC411" s="832"/>
      <c r="HD411" s="832"/>
      <c r="HE411" s="832"/>
      <c r="HF411" s="832"/>
      <c r="HG411" s="832"/>
      <c r="HH411" s="832"/>
      <c r="HI411" s="832"/>
      <c r="HJ411" s="832"/>
      <c r="HK411" s="832"/>
      <c r="HL411" s="832"/>
      <c r="HM411" s="832"/>
      <c r="HN411" s="832"/>
      <c r="HO411" s="832"/>
      <c r="HP411" s="832"/>
      <c r="HQ411" s="832"/>
      <c r="HR411" s="832"/>
      <c r="HS411" s="832"/>
      <c r="HT411" s="832"/>
      <c r="HU411" s="832"/>
      <c r="HV411" s="832"/>
      <c r="HW411" s="832"/>
      <c r="HX411" s="832"/>
      <c r="HY411" s="832"/>
      <c r="HZ411" s="832"/>
      <c r="IA411" s="832"/>
      <c r="IB411" s="832"/>
      <c r="IC411" s="832"/>
      <c r="ID411" s="832"/>
      <c r="IE411" s="832"/>
      <c r="IF411" s="832"/>
      <c r="IG411" s="832"/>
      <c r="IH411" s="832"/>
      <c r="II411" s="832"/>
      <c r="IJ411" s="832"/>
      <c r="IK411" s="832"/>
      <c r="IL411" s="832"/>
      <c r="IM411" s="832"/>
      <c r="IN411" s="832"/>
      <c r="IO411" s="832"/>
      <c r="IP411" s="832"/>
      <c r="IQ411" s="832"/>
      <c r="IR411" s="832"/>
      <c r="IS411" s="832"/>
      <c r="IT411" s="832"/>
      <c r="IU411" s="832"/>
      <c r="IV411" s="832"/>
      <c r="IW411" s="832"/>
      <c r="IX411" s="832"/>
      <c r="IY411" s="832"/>
      <c r="IZ411" s="832"/>
      <c r="JA411" s="832"/>
      <c r="JB411" s="832"/>
      <c r="JC411" s="832"/>
      <c r="JD411" s="832"/>
      <c r="JE411" s="832"/>
      <c r="JF411" s="832"/>
      <c r="JG411" s="832"/>
      <c r="JH411" s="832"/>
      <c r="JI411" s="832"/>
      <c r="JJ411" s="832"/>
      <c r="JK411" s="832"/>
      <c r="JL411" s="832"/>
      <c r="JM411" s="832"/>
      <c r="JN411" s="832"/>
      <c r="JO411" s="832"/>
      <c r="JP411" s="832"/>
      <c r="JQ411" s="832"/>
      <c r="JR411" s="832"/>
      <c r="JS411" s="832"/>
      <c r="JT411" s="832"/>
      <c r="JU411" s="832"/>
      <c r="JV411" s="832"/>
      <c r="JW411" s="832"/>
      <c r="JX411" s="832"/>
      <c r="JY411" s="832"/>
      <c r="JZ411" s="832"/>
      <c r="KA411" s="832"/>
      <c r="KB411" s="832"/>
      <c r="KC411" s="832"/>
      <c r="KD411" s="832"/>
      <c r="KE411" s="832"/>
      <c r="KF411" s="832"/>
      <c r="KG411" s="832"/>
      <c r="KH411" s="832"/>
      <c r="KI411" s="832"/>
      <c r="KJ411" s="832"/>
      <c r="KK411" s="832"/>
      <c r="KL411" s="832"/>
      <c r="KM411" s="832"/>
      <c r="KN411" s="832"/>
      <c r="KO411" s="832"/>
      <c r="KP411" s="832"/>
      <c r="KQ411" s="832"/>
      <c r="KR411" s="832"/>
      <c r="KS411" s="832"/>
      <c r="KT411" s="832"/>
      <c r="KU411" s="832"/>
      <c r="KV411" s="832"/>
      <c r="KW411" s="832"/>
      <c r="KX411" s="832"/>
      <c r="KY411" s="832"/>
      <c r="KZ411" s="832"/>
      <c r="LA411" s="832"/>
      <c r="LB411" s="832"/>
      <c r="LC411" s="832"/>
      <c r="LD411" s="832"/>
      <c r="LE411" s="832"/>
      <c r="LF411" s="832"/>
      <c r="LG411" s="832"/>
      <c r="LH411" s="832"/>
      <c r="LI411" s="832"/>
      <c r="LJ411" s="832"/>
      <c r="LK411" s="832"/>
      <c r="LL411" s="832"/>
      <c r="LM411" s="832"/>
      <c r="LN411" s="832"/>
      <c r="LO411" s="832"/>
      <c r="LP411" s="832"/>
      <c r="LQ411" s="832"/>
      <c r="LR411" s="832"/>
      <c r="LS411" s="832"/>
      <c r="LT411" s="832"/>
      <c r="LU411" s="832"/>
      <c r="LV411" s="832"/>
      <c r="LW411" s="832"/>
      <c r="LX411" s="832"/>
      <c r="LY411" s="832"/>
      <c r="LZ411" s="832"/>
      <c r="MA411" s="832"/>
      <c r="MB411" s="832"/>
      <c r="MC411" s="832"/>
      <c r="MD411" s="832"/>
      <c r="ME411" s="832"/>
      <c r="MF411" s="832"/>
      <c r="MG411" s="832"/>
      <c r="MH411" s="832"/>
      <c r="MI411" s="832"/>
      <c r="MJ411" s="832"/>
      <c r="MK411" s="832"/>
      <c r="ML411" s="832"/>
      <c r="MM411" s="832"/>
      <c r="MN411" s="832"/>
      <c r="MO411" s="832"/>
      <c r="MP411" s="832"/>
      <c r="MQ411" s="832"/>
      <c r="MR411" s="832"/>
      <c r="MS411" s="832"/>
      <c r="MT411" s="832"/>
      <c r="MU411" s="832"/>
      <c r="MV411" s="832"/>
      <c r="MW411" s="832"/>
      <c r="MX411" s="832"/>
      <c r="MY411" s="832"/>
      <c r="MZ411" s="832"/>
      <c r="NA411" s="832"/>
      <c r="NB411" s="832"/>
      <c r="NC411" s="832"/>
      <c r="ND411" s="832"/>
      <c r="NE411" s="832"/>
      <c r="NF411" s="832"/>
      <c r="NG411" s="832"/>
      <c r="NH411" s="832"/>
      <c r="NI411" s="832"/>
      <c r="NJ411" s="832"/>
      <c r="NK411" s="832"/>
      <c r="NL411" s="832"/>
      <c r="NM411" s="832"/>
      <c r="NN411" s="832"/>
      <c r="NO411" s="832"/>
      <c r="NP411" s="832"/>
      <c r="NQ411" s="832"/>
      <c r="NR411" s="832"/>
      <c r="NS411" s="832"/>
      <c r="NT411" s="832"/>
      <c r="NU411" s="832"/>
      <c r="NV411" s="832"/>
      <c r="NW411" s="832"/>
      <c r="NX411" s="832"/>
      <c r="NY411" s="832"/>
      <c r="NZ411" s="832"/>
      <c r="OA411" s="832"/>
      <c r="OB411" s="832"/>
      <c r="OC411" s="832"/>
      <c r="OD411" s="832"/>
      <c r="OE411" s="832"/>
      <c r="OF411" s="832"/>
      <c r="OG411" s="832"/>
      <c r="OH411" s="832"/>
      <c r="OI411" s="832"/>
      <c r="OJ411" s="832"/>
      <c r="OK411" s="832"/>
      <c r="OL411" s="832"/>
      <c r="OM411" s="832"/>
      <c r="ON411" s="832"/>
      <c r="OO411" s="832"/>
      <c r="OP411" s="832"/>
      <c r="OQ411" s="832"/>
      <c r="OR411" s="832"/>
      <c r="OS411" s="832"/>
      <c r="OT411" s="832"/>
      <c r="OU411" s="832"/>
      <c r="OV411" s="832"/>
      <c r="OW411" s="832"/>
      <c r="OX411" s="832"/>
      <c r="OY411" s="832"/>
      <c r="OZ411" s="832"/>
      <c r="PA411" s="832"/>
      <c r="PB411" s="832"/>
      <c r="PC411" s="832"/>
      <c r="PD411" s="832"/>
      <c r="PE411" s="832"/>
      <c r="PF411" s="832"/>
      <c r="PG411" s="832"/>
      <c r="PH411" s="832"/>
      <c r="PI411" s="832"/>
      <c r="PJ411" s="832"/>
      <c r="PK411" s="832"/>
      <c r="PL411" s="832"/>
      <c r="PM411" s="832"/>
      <c r="PN411" s="832"/>
      <c r="PO411" s="832"/>
      <c r="PP411" s="832"/>
      <c r="PQ411" s="832"/>
      <c r="PR411" s="832"/>
      <c r="PS411" s="832"/>
      <c r="PT411" s="832"/>
      <c r="PU411" s="832"/>
      <c r="PV411" s="832"/>
      <c r="PW411" s="832"/>
      <c r="PX411" s="832"/>
      <c r="PY411" s="832"/>
      <c r="PZ411" s="832"/>
      <c r="QA411" s="832"/>
      <c r="QB411" s="832"/>
      <c r="QC411" s="832"/>
      <c r="QD411" s="832"/>
      <c r="QE411" s="832"/>
      <c r="QF411" s="832"/>
      <c r="QG411" s="832"/>
      <c r="QH411" s="832"/>
      <c r="QI411" s="832"/>
      <c r="QJ411" s="832"/>
      <c r="QK411" s="832"/>
      <c r="QL411" s="832"/>
      <c r="QM411" s="832"/>
      <c r="QN411" s="832"/>
      <c r="QO411" s="832"/>
      <c r="QP411" s="832"/>
      <c r="QQ411" s="832"/>
      <c r="QR411" s="832"/>
      <c r="QS411" s="832"/>
      <c r="QT411" s="832"/>
      <c r="QU411" s="832"/>
      <c r="QV411" s="832"/>
      <c r="QW411" s="832"/>
      <c r="QX411" s="832"/>
      <c r="QY411" s="832"/>
      <c r="QZ411" s="832"/>
      <c r="RA411" s="832"/>
      <c r="RB411" s="832"/>
      <c r="RC411" s="832"/>
      <c r="RD411" s="832"/>
      <c r="RE411" s="832"/>
      <c r="RF411" s="832"/>
      <c r="RG411" s="832"/>
      <c r="RH411" s="832"/>
      <c r="RI411" s="832"/>
      <c r="RJ411" s="832"/>
      <c r="RK411" s="832"/>
      <c r="RL411" s="832"/>
      <c r="RM411" s="832"/>
      <c r="RN411" s="832"/>
      <c r="RO411" s="832"/>
      <c r="RP411" s="832"/>
      <c r="RQ411" s="832"/>
      <c r="RR411" s="832"/>
      <c r="RS411" s="832"/>
      <c r="RT411" s="832"/>
      <c r="RU411" s="832"/>
      <c r="RV411" s="832"/>
      <c r="RW411" s="832"/>
      <c r="RX411" s="832"/>
      <c r="RY411" s="832"/>
      <c r="RZ411" s="832"/>
      <c r="SA411" s="832"/>
      <c r="SB411" s="832"/>
      <c r="SC411" s="832"/>
      <c r="SD411" s="832"/>
      <c r="SE411" s="832"/>
      <c r="SF411" s="832"/>
      <c r="SG411" s="832"/>
      <c r="SH411" s="832"/>
      <c r="SI411" s="832"/>
      <c r="SJ411" s="832"/>
      <c r="SK411" s="832"/>
      <c r="SL411" s="832"/>
      <c r="SM411" s="832"/>
      <c r="SN411" s="832"/>
      <c r="SO411" s="832"/>
      <c r="SP411" s="832"/>
      <c r="SQ411" s="832"/>
      <c r="SR411" s="832"/>
      <c r="SS411" s="832"/>
      <c r="ST411" s="832"/>
      <c r="SU411" s="832"/>
      <c r="SV411" s="832"/>
      <c r="SW411" s="832"/>
      <c r="SX411" s="832"/>
      <c r="SY411" s="832"/>
      <c r="SZ411" s="832"/>
      <c r="TA411" s="832"/>
      <c r="TB411" s="832"/>
      <c r="TC411" s="832"/>
      <c r="TD411" s="832"/>
      <c r="TE411" s="832"/>
      <c r="TF411" s="832"/>
      <c r="TG411" s="832"/>
      <c r="TH411" s="832"/>
      <c r="TI411" s="832"/>
      <c r="TJ411" s="832"/>
      <c r="TK411" s="832"/>
      <c r="TL411" s="832"/>
      <c r="TM411" s="832"/>
      <c r="TN411" s="832"/>
      <c r="TO411" s="832"/>
      <c r="TP411" s="832"/>
      <c r="TQ411" s="832"/>
      <c r="TR411" s="832"/>
      <c r="TS411" s="832"/>
      <c r="TT411" s="832"/>
      <c r="TU411" s="832"/>
      <c r="TV411" s="832"/>
      <c r="TW411" s="832"/>
      <c r="TX411" s="832"/>
      <c r="TY411" s="832"/>
      <c r="TZ411" s="832"/>
      <c r="UA411" s="832"/>
      <c r="UB411" s="832"/>
      <c r="UC411" s="832"/>
      <c r="UD411" s="832"/>
      <c r="UE411" s="832"/>
      <c r="UF411" s="832"/>
      <c r="UG411" s="832"/>
      <c r="UH411" s="832"/>
      <c r="UI411" s="832"/>
      <c r="UJ411" s="832"/>
      <c r="UK411" s="832"/>
      <c r="UL411" s="832"/>
      <c r="UM411" s="832"/>
      <c r="UN411" s="832"/>
      <c r="UO411" s="832"/>
      <c r="UP411" s="832"/>
      <c r="UQ411" s="832"/>
      <c r="UR411" s="832"/>
      <c r="US411" s="832"/>
      <c r="UT411" s="832"/>
      <c r="UU411" s="832"/>
      <c r="UV411" s="832"/>
      <c r="UW411" s="832"/>
      <c r="UX411" s="832"/>
      <c r="UY411" s="832"/>
      <c r="UZ411" s="832"/>
      <c r="VA411" s="832"/>
      <c r="VB411" s="832"/>
      <c r="VC411" s="832"/>
      <c r="VD411" s="832"/>
      <c r="VE411" s="832"/>
      <c r="VF411" s="832"/>
      <c r="VG411" s="832"/>
      <c r="VH411" s="832"/>
      <c r="VI411" s="832"/>
      <c r="VJ411" s="832"/>
      <c r="VK411" s="832"/>
      <c r="VL411" s="832"/>
      <c r="VM411" s="832"/>
      <c r="VN411" s="832"/>
      <c r="VO411" s="832"/>
      <c r="VP411" s="832"/>
      <c r="VQ411" s="832"/>
      <c r="VR411" s="832"/>
      <c r="VS411" s="832"/>
      <c r="VT411" s="832"/>
      <c r="VU411" s="832"/>
      <c r="VV411" s="832"/>
      <c r="VW411" s="832"/>
      <c r="VX411" s="832"/>
      <c r="VY411" s="832"/>
      <c r="VZ411" s="832"/>
      <c r="WA411" s="832"/>
      <c r="WB411" s="832"/>
      <c r="WC411" s="832"/>
      <c r="WD411" s="832"/>
      <c r="WE411" s="832"/>
      <c r="WF411" s="832"/>
      <c r="WG411" s="832"/>
      <c r="WH411" s="832"/>
      <c r="WI411" s="832"/>
      <c r="WJ411" s="832"/>
      <c r="WK411" s="832"/>
      <c r="WL411" s="832"/>
      <c r="WM411" s="832"/>
      <c r="WN411" s="832"/>
      <c r="WO411" s="832"/>
      <c r="WP411" s="832"/>
      <c r="WQ411" s="832"/>
      <c r="WR411" s="832"/>
      <c r="WS411" s="832"/>
      <c r="WT411" s="832"/>
      <c r="WU411" s="832"/>
      <c r="WV411" s="832"/>
      <c r="WW411" s="832"/>
      <c r="WX411" s="832"/>
      <c r="WY411" s="832"/>
      <c r="WZ411" s="832"/>
      <c r="XA411" s="832"/>
      <c r="XB411" s="832"/>
      <c r="XC411" s="832"/>
      <c r="XD411" s="832"/>
      <c r="XE411" s="832"/>
      <c r="XF411" s="832"/>
      <c r="XG411" s="832"/>
      <c r="XH411" s="832"/>
      <c r="XI411" s="832"/>
      <c r="XJ411" s="832"/>
      <c r="XK411" s="832"/>
      <c r="XL411" s="832"/>
      <c r="XM411" s="832"/>
      <c r="XN411" s="832"/>
      <c r="XO411" s="832"/>
      <c r="XP411" s="832"/>
      <c r="XQ411" s="832"/>
      <c r="XR411" s="832"/>
      <c r="XS411" s="832"/>
      <c r="XT411" s="832"/>
      <c r="XU411" s="832"/>
      <c r="XV411" s="832"/>
      <c r="XW411" s="832"/>
      <c r="XX411" s="832"/>
      <c r="XY411" s="832"/>
      <c r="XZ411" s="832"/>
      <c r="YA411" s="832"/>
      <c r="YB411" s="832"/>
      <c r="YC411" s="832"/>
      <c r="YD411" s="832"/>
      <c r="YE411" s="832"/>
      <c r="YF411" s="832"/>
      <c r="YG411" s="832"/>
      <c r="YH411" s="832"/>
      <c r="YI411" s="832"/>
      <c r="YJ411" s="832"/>
      <c r="YK411" s="832"/>
      <c r="YL411" s="832"/>
      <c r="YM411" s="832"/>
      <c r="YN411" s="832"/>
      <c r="YO411" s="832"/>
      <c r="YP411" s="832"/>
      <c r="YQ411" s="832"/>
      <c r="YR411" s="832"/>
      <c r="YS411" s="832"/>
      <c r="YT411" s="832"/>
      <c r="YU411" s="832"/>
      <c r="YV411" s="832"/>
      <c r="YW411" s="832"/>
      <c r="YX411" s="832"/>
      <c r="YY411" s="832"/>
      <c r="YZ411" s="832"/>
      <c r="ZA411" s="832"/>
      <c r="ZB411" s="832"/>
      <c r="ZC411" s="832"/>
      <c r="ZD411" s="832"/>
      <c r="ZE411" s="832"/>
      <c r="ZF411" s="832"/>
      <c r="ZG411" s="832"/>
      <c r="ZH411" s="832"/>
      <c r="ZI411" s="832"/>
      <c r="ZJ411" s="832"/>
      <c r="ZK411" s="832"/>
      <c r="ZL411" s="832"/>
      <c r="ZM411" s="832"/>
      <c r="ZN411" s="832"/>
      <c r="ZO411" s="832"/>
      <c r="ZP411" s="832"/>
      <c r="ZQ411" s="832"/>
      <c r="ZR411" s="832"/>
      <c r="ZS411" s="832"/>
      <c r="ZT411" s="832"/>
      <c r="ZU411" s="832"/>
      <c r="ZV411" s="832"/>
      <c r="ZW411" s="832"/>
      <c r="ZX411" s="832"/>
      <c r="ZY411" s="832"/>
      <c r="ZZ411" s="832"/>
      <c r="AAA411" s="832"/>
      <c r="AAB411" s="832"/>
      <c r="AAC411" s="832"/>
      <c r="AAD411" s="832"/>
      <c r="AAE411" s="832"/>
      <c r="AAF411" s="832"/>
      <c r="AAG411" s="832"/>
      <c r="AAH411" s="832"/>
      <c r="AAI411" s="832"/>
      <c r="AAJ411" s="832"/>
      <c r="AAK411" s="832"/>
      <c r="AAL411" s="832"/>
      <c r="AAM411" s="832"/>
      <c r="AAN411" s="832"/>
      <c r="AAO411" s="832"/>
      <c r="AAP411" s="832"/>
      <c r="AAQ411" s="832"/>
      <c r="AAR411" s="832"/>
      <c r="AAS411" s="832"/>
      <c r="AAT411" s="832"/>
      <c r="AAU411" s="832"/>
      <c r="AAV411" s="832"/>
      <c r="AAW411" s="832"/>
      <c r="AAX411" s="832"/>
      <c r="AAY411" s="832"/>
      <c r="AAZ411" s="832"/>
      <c r="ABA411" s="832"/>
      <c r="ABB411" s="832"/>
      <c r="ABC411" s="832"/>
      <c r="ABD411" s="832"/>
      <c r="ABE411" s="832"/>
      <c r="ABF411" s="832"/>
      <c r="ABG411" s="832"/>
      <c r="ABH411" s="832"/>
      <c r="ABI411" s="832"/>
      <c r="ABJ411" s="832"/>
      <c r="ABK411" s="832"/>
      <c r="ABL411" s="832"/>
      <c r="ABM411" s="832"/>
      <c r="ABN411" s="832"/>
      <c r="ABO411" s="832"/>
      <c r="ABP411" s="832"/>
      <c r="ABQ411" s="832"/>
      <c r="ABR411" s="832"/>
      <c r="ABS411" s="832"/>
      <c r="ABT411" s="832"/>
      <c r="ABU411" s="832"/>
      <c r="ABV411" s="832"/>
      <c r="ABW411" s="832"/>
      <c r="ABX411" s="832"/>
      <c r="ABY411" s="832"/>
      <c r="ABZ411" s="832"/>
      <c r="ACA411" s="832"/>
      <c r="ACB411" s="832"/>
      <c r="ACC411" s="832"/>
      <c r="ACD411" s="832"/>
      <c r="ACE411" s="832"/>
      <c r="ACF411" s="832"/>
      <c r="ACG411" s="832"/>
      <c r="ACH411" s="832"/>
      <c r="ACI411" s="832"/>
      <c r="ACJ411" s="832"/>
      <c r="ACK411" s="832"/>
      <c r="ACL411" s="832"/>
      <c r="ACM411" s="832"/>
      <c r="ACN411" s="832"/>
      <c r="ACO411" s="832"/>
      <c r="ACP411" s="832"/>
      <c r="ACQ411" s="832"/>
      <c r="ACR411" s="832"/>
      <c r="ACS411" s="832"/>
      <c r="ACT411" s="832"/>
      <c r="ACU411" s="832"/>
      <c r="ACV411" s="832"/>
      <c r="ACW411" s="832"/>
      <c r="ACX411" s="832"/>
      <c r="ACY411" s="832"/>
      <c r="ACZ411" s="832"/>
      <c r="ADA411" s="832"/>
      <c r="ADB411" s="832"/>
      <c r="ADC411" s="832"/>
      <c r="ADD411" s="832"/>
      <c r="ADE411" s="832"/>
      <c r="ADF411" s="832"/>
      <c r="ADG411" s="832"/>
      <c r="ADH411" s="832"/>
      <c r="ADI411" s="832"/>
      <c r="ADJ411" s="832"/>
      <c r="ADK411" s="832"/>
      <c r="ADL411" s="832"/>
      <c r="ADM411" s="832"/>
      <c r="ADN411" s="832"/>
      <c r="ADO411" s="832"/>
      <c r="ADP411" s="832"/>
      <c r="ADQ411" s="832"/>
      <c r="ADR411" s="832"/>
      <c r="ADS411" s="832"/>
      <c r="ADT411" s="832"/>
      <c r="ADU411" s="832"/>
      <c r="ADV411" s="832"/>
      <c r="ADW411" s="832"/>
      <c r="ADX411" s="832"/>
      <c r="ADY411" s="832"/>
      <c r="ADZ411" s="832"/>
      <c r="AEA411" s="832"/>
      <c r="AEB411" s="832"/>
      <c r="AEC411" s="832"/>
      <c r="AED411" s="832"/>
      <c r="AEE411" s="832"/>
      <c r="AEF411" s="832"/>
      <c r="AEG411" s="832"/>
      <c r="AEH411" s="832"/>
      <c r="AEI411" s="832"/>
      <c r="AEJ411" s="832"/>
      <c r="AEK411" s="832"/>
      <c r="AEL411" s="832"/>
      <c r="AEM411" s="832"/>
      <c r="AEN411" s="832"/>
      <c r="AEO411" s="832"/>
      <c r="AEP411" s="832"/>
      <c r="AEQ411" s="832"/>
      <c r="AER411" s="832"/>
      <c r="AES411" s="832"/>
      <c r="AET411" s="832"/>
      <c r="AEU411" s="832"/>
      <c r="AEV411" s="832"/>
      <c r="AEW411" s="832"/>
      <c r="AEX411" s="832"/>
      <c r="AEY411" s="832"/>
      <c r="AEZ411" s="832"/>
      <c r="AFA411" s="832"/>
      <c r="AFB411" s="832"/>
      <c r="AFC411" s="832"/>
      <c r="AFD411" s="832"/>
      <c r="AFE411" s="832"/>
      <c r="AFF411" s="832"/>
      <c r="AFG411" s="832"/>
      <c r="AFH411" s="832"/>
      <c r="AFI411" s="832"/>
      <c r="AFJ411" s="832"/>
      <c r="AFK411" s="832"/>
      <c r="AFL411" s="832"/>
      <c r="AFM411" s="832"/>
      <c r="AFN411" s="832"/>
      <c r="AFO411" s="832"/>
      <c r="AFP411" s="832"/>
      <c r="AFQ411" s="832"/>
      <c r="AFR411" s="832"/>
      <c r="AFS411" s="832"/>
      <c r="AFT411" s="832"/>
      <c r="AFU411" s="832"/>
      <c r="AFV411" s="832"/>
      <c r="AFW411" s="832"/>
      <c r="AFX411" s="832"/>
      <c r="AFY411" s="832"/>
      <c r="AFZ411" s="832"/>
      <c r="AGA411" s="832"/>
      <c r="AGB411" s="832"/>
      <c r="AGC411" s="832"/>
      <c r="AGD411" s="832"/>
      <c r="AGE411" s="832"/>
      <c r="AGF411" s="832"/>
      <c r="AGG411" s="832"/>
      <c r="AGH411" s="832"/>
      <c r="AGI411" s="832"/>
      <c r="AGJ411" s="832"/>
      <c r="AGK411" s="832"/>
      <c r="AGL411" s="832"/>
      <c r="AGM411" s="832"/>
      <c r="AGN411" s="832"/>
      <c r="AGO411" s="832"/>
      <c r="AGP411" s="832"/>
      <c r="AGQ411" s="832"/>
      <c r="AGR411" s="832"/>
      <c r="AGS411" s="832"/>
      <c r="AGT411" s="832"/>
      <c r="AGU411" s="832"/>
      <c r="AGV411" s="832"/>
      <c r="AGW411" s="832"/>
      <c r="AGX411" s="832"/>
      <c r="AGY411" s="832"/>
      <c r="AGZ411" s="832"/>
      <c r="AHA411" s="832"/>
      <c r="AHB411" s="832"/>
      <c r="AHC411" s="832"/>
      <c r="AHD411" s="832"/>
      <c r="AHE411" s="832"/>
      <c r="AHF411" s="832"/>
      <c r="AHG411" s="832"/>
      <c r="AHH411" s="832"/>
      <c r="AHI411" s="832"/>
      <c r="AHJ411" s="832"/>
      <c r="AHK411" s="832"/>
      <c r="AHL411" s="832"/>
      <c r="AHM411" s="832"/>
      <c r="AHN411" s="832"/>
      <c r="AHO411" s="832"/>
      <c r="AHP411" s="832"/>
      <c r="AHQ411" s="832"/>
      <c r="AHR411" s="832"/>
      <c r="AHS411" s="832"/>
      <c r="AHT411" s="832"/>
      <c r="AHU411" s="832"/>
      <c r="AHV411" s="832"/>
      <c r="AHW411" s="832"/>
      <c r="AHX411" s="832"/>
      <c r="AHY411" s="832"/>
      <c r="AHZ411" s="832"/>
      <c r="AIA411" s="832"/>
      <c r="AIB411" s="832"/>
      <c r="AIC411" s="832"/>
      <c r="AID411" s="832"/>
      <c r="AIE411" s="832"/>
      <c r="AIF411" s="832"/>
      <c r="AIG411" s="832"/>
      <c r="AIH411" s="832"/>
      <c r="AII411" s="832"/>
      <c r="AIJ411" s="832"/>
      <c r="AIK411" s="832"/>
      <c r="AIL411" s="832"/>
      <c r="AIM411" s="832"/>
      <c r="AIN411" s="832"/>
      <c r="AIO411" s="832"/>
      <c r="AIP411" s="832"/>
      <c r="AIQ411" s="832"/>
      <c r="AIR411" s="832"/>
      <c r="AIS411" s="832"/>
      <c r="AIT411" s="832"/>
      <c r="AIU411" s="832"/>
      <c r="AIV411" s="832"/>
      <c r="AIW411" s="832"/>
      <c r="AIX411" s="832"/>
      <c r="AIY411" s="832"/>
      <c r="AIZ411" s="832"/>
      <c r="AJA411" s="832"/>
      <c r="AJB411" s="832"/>
      <c r="AJC411" s="832"/>
      <c r="AJD411" s="832"/>
      <c r="AJE411" s="832"/>
      <c r="AJF411" s="832"/>
      <c r="AJG411" s="832"/>
      <c r="AJH411" s="832"/>
      <c r="AJI411" s="832"/>
      <c r="AJJ411" s="832"/>
      <c r="AJK411" s="832"/>
      <c r="AJL411" s="832"/>
      <c r="AJM411" s="832"/>
      <c r="AJN411" s="832"/>
      <c r="AJO411" s="832"/>
      <c r="AJP411" s="832"/>
      <c r="AJQ411" s="832"/>
      <c r="AJR411" s="832"/>
      <c r="AJS411" s="832"/>
      <c r="AJT411" s="832"/>
      <c r="AJU411" s="832"/>
      <c r="AJV411" s="832"/>
      <c r="AJW411" s="832"/>
      <c r="AJX411" s="832"/>
      <c r="AJY411" s="832"/>
      <c r="AJZ411" s="832"/>
      <c r="AKA411" s="832"/>
      <c r="AKB411" s="832"/>
      <c r="AKC411" s="832"/>
      <c r="AKD411" s="832"/>
      <c r="AKE411" s="832"/>
      <c r="AKF411" s="832"/>
      <c r="AKG411" s="832"/>
      <c r="AKH411" s="832"/>
      <c r="AKI411" s="832"/>
      <c r="AKJ411" s="832"/>
      <c r="AKK411" s="832"/>
      <c r="AKL411" s="832"/>
      <c r="AKM411" s="832"/>
      <c r="AKN411" s="832"/>
      <c r="AKO411" s="832"/>
      <c r="AKP411" s="832"/>
      <c r="AKQ411" s="832"/>
      <c r="AKR411" s="832"/>
      <c r="AKS411" s="832"/>
      <c r="AKT411" s="832"/>
      <c r="AKU411" s="832"/>
      <c r="AKV411" s="832"/>
      <c r="AKW411" s="832"/>
      <c r="AKX411" s="832"/>
      <c r="AKY411" s="832"/>
      <c r="AKZ411" s="832"/>
      <c r="ALA411" s="832"/>
      <c r="ALB411" s="832"/>
      <c r="ALC411" s="832"/>
      <c r="ALD411" s="832"/>
      <c r="ALE411" s="832"/>
      <c r="ALF411" s="832"/>
      <c r="ALG411" s="832"/>
      <c r="ALH411" s="832"/>
      <c r="ALI411" s="832"/>
      <c r="ALJ411" s="832"/>
      <c r="ALK411" s="832"/>
      <c r="ALL411" s="832"/>
      <c r="ALM411" s="832"/>
      <c r="ALN411" s="832"/>
      <c r="ALO411" s="832"/>
      <c r="ALP411" s="832"/>
      <c r="ALQ411" s="832"/>
      <c r="ALR411" s="832"/>
      <c r="ALS411" s="832"/>
      <c r="ALT411" s="832"/>
      <c r="ALU411" s="832"/>
      <c r="ALV411" s="832"/>
      <c r="ALW411" s="832"/>
      <c r="ALX411" s="832"/>
      <c r="ALY411" s="832"/>
      <c r="ALZ411" s="832"/>
      <c r="AMA411" s="832"/>
      <c r="AMB411" s="832"/>
      <c r="AMC411" s="832"/>
      <c r="AMD411" s="832"/>
      <c r="AME411" s="832"/>
      <c r="AMF411" s="832"/>
      <c r="AMG411" s="832"/>
      <c r="AMH411" s="832"/>
      <c r="AMI411" s="832"/>
      <c r="AMJ411" s="832"/>
      <c r="AMK411" s="832"/>
      <c r="AML411" s="832"/>
    </row>
    <row r="412" spans="1:1026" s="388" customFormat="1" ht="24.95" customHeight="1" outlineLevel="1">
      <c r="A412" s="885"/>
      <c r="B412" s="444" t="s">
        <v>1079</v>
      </c>
      <c r="C412" s="886" t="s">
        <v>1080</v>
      </c>
      <c r="D412" s="451" t="s">
        <v>1081</v>
      </c>
      <c r="E412" s="449" t="s">
        <v>60</v>
      </c>
      <c r="F412" s="987">
        <f>Plan1!D384</f>
        <v>1</v>
      </c>
      <c r="G412" s="925">
        <f t="shared" si="123"/>
        <v>2450.35</v>
      </c>
      <c r="H412" s="889">
        <f t="shared" si="124"/>
        <v>2450.35</v>
      </c>
      <c r="I412" s="885"/>
      <c r="J412" s="915">
        <v>1935.35</v>
      </c>
      <c r="K412" s="916">
        <f t="shared" si="109"/>
        <v>2450.35</v>
      </c>
      <c r="L412" s="832"/>
      <c r="M412" s="832"/>
      <c r="N412" s="832"/>
      <c r="O412" s="832"/>
      <c r="P412" s="832"/>
      <c r="Q412" s="832"/>
      <c r="R412" s="832"/>
      <c r="S412" s="832"/>
      <c r="T412" s="832"/>
      <c r="U412" s="832"/>
      <c r="V412" s="832"/>
      <c r="W412" s="832"/>
      <c r="X412" s="832"/>
      <c r="Y412" s="832"/>
      <c r="Z412" s="832"/>
      <c r="AA412" s="832"/>
      <c r="AB412" s="832"/>
      <c r="AC412" s="832"/>
      <c r="AD412" s="832"/>
      <c r="AE412" s="832"/>
      <c r="AF412" s="832"/>
      <c r="AG412" s="832"/>
      <c r="AH412" s="832"/>
      <c r="AI412" s="832"/>
      <c r="AJ412" s="832"/>
      <c r="AK412" s="832"/>
      <c r="AL412" s="832"/>
      <c r="AM412" s="832"/>
      <c r="AN412" s="832"/>
      <c r="AO412" s="832"/>
      <c r="AP412" s="832"/>
      <c r="AQ412" s="832"/>
      <c r="AR412" s="832"/>
      <c r="AS412" s="832"/>
      <c r="AT412" s="832"/>
      <c r="AU412" s="832"/>
      <c r="AV412" s="832"/>
      <c r="AW412" s="832"/>
      <c r="AX412" s="832"/>
      <c r="AY412" s="832"/>
      <c r="AZ412" s="832"/>
      <c r="BA412" s="832"/>
      <c r="BB412" s="832"/>
      <c r="BC412" s="832"/>
      <c r="BD412" s="832"/>
      <c r="BE412" s="832"/>
      <c r="BF412" s="832"/>
      <c r="BG412" s="832"/>
      <c r="BH412" s="832"/>
      <c r="BI412" s="832"/>
      <c r="BJ412" s="832"/>
      <c r="BK412" s="832"/>
      <c r="BL412" s="832"/>
      <c r="BM412" s="832"/>
      <c r="BN412" s="832"/>
      <c r="BO412" s="832"/>
      <c r="BP412" s="832"/>
      <c r="BQ412" s="832"/>
      <c r="BR412" s="832"/>
      <c r="BS412" s="832"/>
      <c r="BT412" s="832"/>
      <c r="BU412" s="832"/>
      <c r="BV412" s="832"/>
      <c r="BW412" s="832"/>
      <c r="BX412" s="832"/>
      <c r="BY412" s="832"/>
      <c r="BZ412" s="832"/>
      <c r="CA412" s="832"/>
      <c r="CB412" s="832"/>
      <c r="CC412" s="832"/>
      <c r="CD412" s="832"/>
      <c r="CE412" s="832"/>
      <c r="CF412" s="832"/>
      <c r="CG412" s="832"/>
      <c r="CH412" s="832"/>
      <c r="CI412" s="832"/>
      <c r="CJ412" s="832"/>
      <c r="CK412" s="832"/>
      <c r="CL412" s="832"/>
      <c r="CM412" s="832"/>
      <c r="CN412" s="832"/>
      <c r="CO412" s="832"/>
      <c r="CP412" s="832"/>
      <c r="CQ412" s="832"/>
      <c r="CR412" s="832"/>
      <c r="CS412" s="832"/>
      <c r="CT412" s="832"/>
      <c r="CU412" s="832"/>
      <c r="CV412" s="832"/>
      <c r="CW412" s="832"/>
      <c r="CX412" s="832"/>
      <c r="CY412" s="832"/>
      <c r="CZ412" s="832"/>
      <c r="DA412" s="832"/>
      <c r="DB412" s="832"/>
      <c r="DC412" s="832"/>
      <c r="DD412" s="832"/>
      <c r="DE412" s="832"/>
      <c r="DF412" s="832"/>
      <c r="DG412" s="832"/>
      <c r="DH412" s="832"/>
      <c r="DI412" s="832"/>
      <c r="DJ412" s="832"/>
      <c r="DK412" s="832"/>
      <c r="DL412" s="832"/>
      <c r="DM412" s="832"/>
      <c r="DN412" s="832"/>
      <c r="DO412" s="832"/>
      <c r="DP412" s="832"/>
      <c r="DQ412" s="832"/>
      <c r="DR412" s="832"/>
      <c r="DS412" s="832"/>
      <c r="DT412" s="832"/>
      <c r="DU412" s="832"/>
      <c r="DV412" s="832"/>
      <c r="DW412" s="832"/>
      <c r="DX412" s="832"/>
      <c r="DY412" s="832"/>
      <c r="DZ412" s="832"/>
      <c r="EA412" s="832"/>
      <c r="EB412" s="832"/>
      <c r="EC412" s="832"/>
      <c r="ED412" s="832"/>
      <c r="EE412" s="832"/>
      <c r="EF412" s="832"/>
      <c r="EG412" s="832"/>
      <c r="EH412" s="832"/>
      <c r="EI412" s="832"/>
      <c r="EJ412" s="832"/>
      <c r="EK412" s="832"/>
      <c r="EL412" s="832"/>
      <c r="EM412" s="832"/>
      <c r="EN412" s="832"/>
      <c r="EO412" s="832"/>
      <c r="EP412" s="832"/>
      <c r="EQ412" s="832"/>
      <c r="ER412" s="832"/>
      <c r="ES412" s="832"/>
      <c r="ET412" s="832"/>
      <c r="EU412" s="832"/>
      <c r="EV412" s="832"/>
      <c r="EW412" s="832"/>
      <c r="EX412" s="832"/>
      <c r="EY412" s="832"/>
      <c r="EZ412" s="832"/>
      <c r="FA412" s="832"/>
      <c r="FB412" s="832"/>
      <c r="FC412" s="832"/>
      <c r="FD412" s="832"/>
      <c r="FE412" s="832"/>
      <c r="FF412" s="832"/>
      <c r="FG412" s="832"/>
      <c r="FH412" s="832"/>
      <c r="FI412" s="832"/>
      <c r="FJ412" s="832"/>
      <c r="FK412" s="832"/>
      <c r="FL412" s="832"/>
      <c r="FM412" s="832"/>
      <c r="FN412" s="832"/>
      <c r="FO412" s="832"/>
      <c r="FP412" s="832"/>
      <c r="FQ412" s="832"/>
      <c r="FR412" s="832"/>
      <c r="FS412" s="832"/>
      <c r="FT412" s="832"/>
      <c r="FU412" s="832"/>
      <c r="FV412" s="832"/>
      <c r="FW412" s="832"/>
      <c r="FX412" s="832"/>
      <c r="FY412" s="832"/>
      <c r="FZ412" s="832"/>
      <c r="GA412" s="832"/>
      <c r="GB412" s="832"/>
      <c r="GC412" s="832"/>
      <c r="GD412" s="832"/>
      <c r="GE412" s="832"/>
      <c r="GF412" s="832"/>
      <c r="GG412" s="832"/>
      <c r="GH412" s="832"/>
      <c r="GI412" s="832"/>
      <c r="GJ412" s="832"/>
      <c r="GK412" s="832"/>
      <c r="GL412" s="832"/>
      <c r="GM412" s="832"/>
      <c r="GN412" s="832"/>
      <c r="GO412" s="832"/>
      <c r="GP412" s="832"/>
      <c r="GQ412" s="832"/>
      <c r="GR412" s="832"/>
      <c r="GS412" s="832"/>
      <c r="GT412" s="832"/>
      <c r="GU412" s="832"/>
      <c r="GV412" s="832"/>
      <c r="GW412" s="832"/>
      <c r="GX412" s="832"/>
      <c r="GY412" s="832"/>
      <c r="GZ412" s="832"/>
      <c r="HA412" s="832"/>
      <c r="HB412" s="832"/>
      <c r="HC412" s="832"/>
      <c r="HD412" s="832"/>
      <c r="HE412" s="832"/>
      <c r="HF412" s="832"/>
      <c r="HG412" s="832"/>
      <c r="HH412" s="832"/>
      <c r="HI412" s="832"/>
      <c r="HJ412" s="832"/>
      <c r="HK412" s="832"/>
      <c r="HL412" s="832"/>
      <c r="HM412" s="832"/>
      <c r="HN412" s="832"/>
      <c r="HO412" s="832"/>
      <c r="HP412" s="832"/>
      <c r="HQ412" s="832"/>
      <c r="HR412" s="832"/>
      <c r="HS412" s="832"/>
      <c r="HT412" s="832"/>
      <c r="HU412" s="832"/>
      <c r="HV412" s="832"/>
      <c r="HW412" s="832"/>
      <c r="HX412" s="832"/>
      <c r="HY412" s="832"/>
      <c r="HZ412" s="832"/>
      <c r="IA412" s="832"/>
      <c r="IB412" s="832"/>
      <c r="IC412" s="832"/>
      <c r="ID412" s="832"/>
      <c r="IE412" s="832"/>
      <c r="IF412" s="832"/>
      <c r="IG412" s="832"/>
      <c r="IH412" s="832"/>
      <c r="II412" s="832"/>
      <c r="IJ412" s="832"/>
      <c r="IK412" s="832"/>
      <c r="IL412" s="832"/>
      <c r="IM412" s="832"/>
      <c r="IN412" s="832"/>
      <c r="IO412" s="832"/>
      <c r="IP412" s="832"/>
      <c r="IQ412" s="832"/>
      <c r="IR412" s="832"/>
      <c r="IS412" s="832"/>
      <c r="IT412" s="832"/>
      <c r="IU412" s="832"/>
      <c r="IV412" s="832"/>
      <c r="IW412" s="832"/>
      <c r="IX412" s="832"/>
      <c r="IY412" s="832"/>
      <c r="IZ412" s="832"/>
      <c r="JA412" s="832"/>
      <c r="JB412" s="832"/>
      <c r="JC412" s="832"/>
      <c r="JD412" s="832"/>
      <c r="JE412" s="832"/>
      <c r="JF412" s="832"/>
      <c r="JG412" s="832"/>
      <c r="JH412" s="832"/>
      <c r="JI412" s="832"/>
      <c r="JJ412" s="832"/>
      <c r="JK412" s="832"/>
      <c r="JL412" s="832"/>
      <c r="JM412" s="832"/>
      <c r="JN412" s="832"/>
      <c r="JO412" s="832"/>
      <c r="JP412" s="832"/>
      <c r="JQ412" s="832"/>
      <c r="JR412" s="832"/>
      <c r="JS412" s="832"/>
      <c r="JT412" s="832"/>
      <c r="JU412" s="832"/>
      <c r="JV412" s="832"/>
      <c r="JW412" s="832"/>
      <c r="JX412" s="832"/>
      <c r="JY412" s="832"/>
      <c r="JZ412" s="832"/>
      <c r="KA412" s="832"/>
      <c r="KB412" s="832"/>
      <c r="KC412" s="832"/>
      <c r="KD412" s="832"/>
      <c r="KE412" s="832"/>
      <c r="KF412" s="832"/>
      <c r="KG412" s="832"/>
      <c r="KH412" s="832"/>
      <c r="KI412" s="832"/>
      <c r="KJ412" s="832"/>
      <c r="KK412" s="832"/>
      <c r="KL412" s="832"/>
      <c r="KM412" s="832"/>
      <c r="KN412" s="832"/>
      <c r="KO412" s="832"/>
      <c r="KP412" s="832"/>
      <c r="KQ412" s="832"/>
      <c r="KR412" s="832"/>
      <c r="KS412" s="832"/>
      <c r="KT412" s="832"/>
      <c r="KU412" s="832"/>
      <c r="KV412" s="832"/>
      <c r="KW412" s="832"/>
      <c r="KX412" s="832"/>
      <c r="KY412" s="832"/>
      <c r="KZ412" s="832"/>
      <c r="LA412" s="832"/>
      <c r="LB412" s="832"/>
      <c r="LC412" s="832"/>
      <c r="LD412" s="832"/>
      <c r="LE412" s="832"/>
      <c r="LF412" s="832"/>
      <c r="LG412" s="832"/>
      <c r="LH412" s="832"/>
      <c r="LI412" s="832"/>
      <c r="LJ412" s="832"/>
      <c r="LK412" s="832"/>
      <c r="LL412" s="832"/>
      <c r="LM412" s="832"/>
      <c r="LN412" s="832"/>
      <c r="LO412" s="832"/>
      <c r="LP412" s="832"/>
      <c r="LQ412" s="832"/>
      <c r="LR412" s="832"/>
      <c r="LS412" s="832"/>
      <c r="LT412" s="832"/>
      <c r="LU412" s="832"/>
      <c r="LV412" s="832"/>
      <c r="LW412" s="832"/>
      <c r="LX412" s="832"/>
      <c r="LY412" s="832"/>
      <c r="LZ412" s="832"/>
      <c r="MA412" s="832"/>
      <c r="MB412" s="832"/>
      <c r="MC412" s="832"/>
      <c r="MD412" s="832"/>
      <c r="ME412" s="832"/>
      <c r="MF412" s="832"/>
      <c r="MG412" s="832"/>
      <c r="MH412" s="832"/>
      <c r="MI412" s="832"/>
      <c r="MJ412" s="832"/>
      <c r="MK412" s="832"/>
      <c r="ML412" s="832"/>
      <c r="MM412" s="832"/>
      <c r="MN412" s="832"/>
      <c r="MO412" s="832"/>
      <c r="MP412" s="832"/>
      <c r="MQ412" s="832"/>
      <c r="MR412" s="832"/>
      <c r="MS412" s="832"/>
      <c r="MT412" s="832"/>
      <c r="MU412" s="832"/>
      <c r="MV412" s="832"/>
      <c r="MW412" s="832"/>
      <c r="MX412" s="832"/>
      <c r="MY412" s="832"/>
      <c r="MZ412" s="832"/>
      <c r="NA412" s="832"/>
      <c r="NB412" s="832"/>
      <c r="NC412" s="832"/>
      <c r="ND412" s="832"/>
      <c r="NE412" s="832"/>
      <c r="NF412" s="832"/>
      <c r="NG412" s="832"/>
      <c r="NH412" s="832"/>
      <c r="NI412" s="832"/>
      <c r="NJ412" s="832"/>
      <c r="NK412" s="832"/>
      <c r="NL412" s="832"/>
      <c r="NM412" s="832"/>
      <c r="NN412" s="832"/>
      <c r="NO412" s="832"/>
      <c r="NP412" s="832"/>
      <c r="NQ412" s="832"/>
      <c r="NR412" s="832"/>
      <c r="NS412" s="832"/>
      <c r="NT412" s="832"/>
      <c r="NU412" s="832"/>
      <c r="NV412" s="832"/>
      <c r="NW412" s="832"/>
      <c r="NX412" s="832"/>
      <c r="NY412" s="832"/>
      <c r="NZ412" s="832"/>
      <c r="OA412" s="832"/>
      <c r="OB412" s="832"/>
      <c r="OC412" s="832"/>
      <c r="OD412" s="832"/>
      <c r="OE412" s="832"/>
      <c r="OF412" s="832"/>
      <c r="OG412" s="832"/>
      <c r="OH412" s="832"/>
      <c r="OI412" s="832"/>
      <c r="OJ412" s="832"/>
      <c r="OK412" s="832"/>
      <c r="OL412" s="832"/>
      <c r="OM412" s="832"/>
      <c r="ON412" s="832"/>
      <c r="OO412" s="832"/>
      <c r="OP412" s="832"/>
      <c r="OQ412" s="832"/>
      <c r="OR412" s="832"/>
      <c r="OS412" s="832"/>
      <c r="OT412" s="832"/>
      <c r="OU412" s="832"/>
      <c r="OV412" s="832"/>
      <c r="OW412" s="832"/>
      <c r="OX412" s="832"/>
      <c r="OY412" s="832"/>
      <c r="OZ412" s="832"/>
      <c r="PA412" s="832"/>
      <c r="PB412" s="832"/>
      <c r="PC412" s="832"/>
      <c r="PD412" s="832"/>
      <c r="PE412" s="832"/>
      <c r="PF412" s="832"/>
      <c r="PG412" s="832"/>
      <c r="PH412" s="832"/>
      <c r="PI412" s="832"/>
      <c r="PJ412" s="832"/>
      <c r="PK412" s="832"/>
      <c r="PL412" s="832"/>
      <c r="PM412" s="832"/>
      <c r="PN412" s="832"/>
      <c r="PO412" s="832"/>
      <c r="PP412" s="832"/>
      <c r="PQ412" s="832"/>
      <c r="PR412" s="832"/>
      <c r="PS412" s="832"/>
      <c r="PT412" s="832"/>
      <c r="PU412" s="832"/>
      <c r="PV412" s="832"/>
      <c r="PW412" s="832"/>
      <c r="PX412" s="832"/>
      <c r="PY412" s="832"/>
      <c r="PZ412" s="832"/>
      <c r="QA412" s="832"/>
      <c r="QB412" s="832"/>
      <c r="QC412" s="832"/>
      <c r="QD412" s="832"/>
      <c r="QE412" s="832"/>
      <c r="QF412" s="832"/>
      <c r="QG412" s="832"/>
      <c r="QH412" s="832"/>
      <c r="QI412" s="832"/>
      <c r="QJ412" s="832"/>
      <c r="QK412" s="832"/>
      <c r="QL412" s="832"/>
      <c r="QM412" s="832"/>
      <c r="QN412" s="832"/>
      <c r="QO412" s="832"/>
      <c r="QP412" s="832"/>
      <c r="QQ412" s="832"/>
      <c r="QR412" s="832"/>
      <c r="QS412" s="832"/>
      <c r="QT412" s="832"/>
      <c r="QU412" s="832"/>
      <c r="QV412" s="832"/>
      <c r="QW412" s="832"/>
      <c r="QX412" s="832"/>
      <c r="QY412" s="832"/>
      <c r="QZ412" s="832"/>
      <c r="RA412" s="832"/>
      <c r="RB412" s="832"/>
      <c r="RC412" s="832"/>
      <c r="RD412" s="832"/>
      <c r="RE412" s="832"/>
      <c r="RF412" s="832"/>
      <c r="RG412" s="832"/>
      <c r="RH412" s="832"/>
      <c r="RI412" s="832"/>
      <c r="RJ412" s="832"/>
      <c r="RK412" s="832"/>
      <c r="RL412" s="832"/>
      <c r="RM412" s="832"/>
      <c r="RN412" s="832"/>
      <c r="RO412" s="832"/>
      <c r="RP412" s="832"/>
      <c r="RQ412" s="832"/>
      <c r="RR412" s="832"/>
      <c r="RS412" s="832"/>
      <c r="RT412" s="832"/>
      <c r="RU412" s="832"/>
      <c r="RV412" s="832"/>
      <c r="RW412" s="832"/>
      <c r="RX412" s="832"/>
      <c r="RY412" s="832"/>
      <c r="RZ412" s="832"/>
      <c r="SA412" s="832"/>
      <c r="SB412" s="832"/>
      <c r="SC412" s="832"/>
      <c r="SD412" s="832"/>
      <c r="SE412" s="832"/>
      <c r="SF412" s="832"/>
      <c r="SG412" s="832"/>
      <c r="SH412" s="832"/>
      <c r="SI412" s="832"/>
      <c r="SJ412" s="832"/>
      <c r="SK412" s="832"/>
      <c r="SL412" s="832"/>
      <c r="SM412" s="832"/>
      <c r="SN412" s="832"/>
      <c r="SO412" s="832"/>
      <c r="SP412" s="832"/>
      <c r="SQ412" s="832"/>
      <c r="SR412" s="832"/>
      <c r="SS412" s="832"/>
      <c r="ST412" s="832"/>
      <c r="SU412" s="832"/>
      <c r="SV412" s="832"/>
      <c r="SW412" s="832"/>
      <c r="SX412" s="832"/>
      <c r="SY412" s="832"/>
      <c r="SZ412" s="832"/>
      <c r="TA412" s="832"/>
      <c r="TB412" s="832"/>
      <c r="TC412" s="832"/>
      <c r="TD412" s="832"/>
      <c r="TE412" s="832"/>
      <c r="TF412" s="832"/>
      <c r="TG412" s="832"/>
      <c r="TH412" s="832"/>
      <c r="TI412" s="832"/>
      <c r="TJ412" s="832"/>
      <c r="TK412" s="832"/>
      <c r="TL412" s="832"/>
      <c r="TM412" s="832"/>
      <c r="TN412" s="832"/>
      <c r="TO412" s="832"/>
      <c r="TP412" s="832"/>
      <c r="TQ412" s="832"/>
      <c r="TR412" s="832"/>
      <c r="TS412" s="832"/>
      <c r="TT412" s="832"/>
      <c r="TU412" s="832"/>
      <c r="TV412" s="832"/>
      <c r="TW412" s="832"/>
      <c r="TX412" s="832"/>
      <c r="TY412" s="832"/>
      <c r="TZ412" s="832"/>
      <c r="UA412" s="832"/>
      <c r="UB412" s="832"/>
      <c r="UC412" s="832"/>
      <c r="UD412" s="832"/>
      <c r="UE412" s="832"/>
      <c r="UF412" s="832"/>
      <c r="UG412" s="832"/>
      <c r="UH412" s="832"/>
      <c r="UI412" s="832"/>
      <c r="UJ412" s="832"/>
      <c r="UK412" s="832"/>
      <c r="UL412" s="832"/>
      <c r="UM412" s="832"/>
      <c r="UN412" s="832"/>
      <c r="UO412" s="832"/>
      <c r="UP412" s="832"/>
      <c r="UQ412" s="832"/>
      <c r="UR412" s="832"/>
      <c r="US412" s="832"/>
      <c r="UT412" s="832"/>
      <c r="UU412" s="832"/>
      <c r="UV412" s="832"/>
      <c r="UW412" s="832"/>
      <c r="UX412" s="832"/>
      <c r="UY412" s="832"/>
      <c r="UZ412" s="832"/>
      <c r="VA412" s="832"/>
      <c r="VB412" s="832"/>
      <c r="VC412" s="832"/>
      <c r="VD412" s="832"/>
      <c r="VE412" s="832"/>
      <c r="VF412" s="832"/>
      <c r="VG412" s="832"/>
      <c r="VH412" s="832"/>
      <c r="VI412" s="832"/>
      <c r="VJ412" s="832"/>
      <c r="VK412" s="832"/>
      <c r="VL412" s="832"/>
      <c r="VM412" s="832"/>
      <c r="VN412" s="832"/>
      <c r="VO412" s="832"/>
      <c r="VP412" s="832"/>
      <c r="VQ412" s="832"/>
      <c r="VR412" s="832"/>
      <c r="VS412" s="832"/>
      <c r="VT412" s="832"/>
      <c r="VU412" s="832"/>
      <c r="VV412" s="832"/>
      <c r="VW412" s="832"/>
      <c r="VX412" s="832"/>
      <c r="VY412" s="832"/>
      <c r="VZ412" s="832"/>
      <c r="WA412" s="832"/>
      <c r="WB412" s="832"/>
      <c r="WC412" s="832"/>
      <c r="WD412" s="832"/>
      <c r="WE412" s="832"/>
      <c r="WF412" s="832"/>
      <c r="WG412" s="832"/>
      <c r="WH412" s="832"/>
      <c r="WI412" s="832"/>
      <c r="WJ412" s="832"/>
      <c r="WK412" s="832"/>
      <c r="WL412" s="832"/>
      <c r="WM412" s="832"/>
      <c r="WN412" s="832"/>
      <c r="WO412" s="832"/>
      <c r="WP412" s="832"/>
      <c r="WQ412" s="832"/>
      <c r="WR412" s="832"/>
      <c r="WS412" s="832"/>
      <c r="WT412" s="832"/>
      <c r="WU412" s="832"/>
      <c r="WV412" s="832"/>
      <c r="WW412" s="832"/>
      <c r="WX412" s="832"/>
      <c r="WY412" s="832"/>
      <c r="WZ412" s="832"/>
      <c r="XA412" s="832"/>
      <c r="XB412" s="832"/>
      <c r="XC412" s="832"/>
      <c r="XD412" s="832"/>
      <c r="XE412" s="832"/>
      <c r="XF412" s="832"/>
      <c r="XG412" s="832"/>
      <c r="XH412" s="832"/>
      <c r="XI412" s="832"/>
      <c r="XJ412" s="832"/>
      <c r="XK412" s="832"/>
      <c r="XL412" s="832"/>
      <c r="XM412" s="832"/>
      <c r="XN412" s="832"/>
      <c r="XO412" s="832"/>
      <c r="XP412" s="832"/>
      <c r="XQ412" s="832"/>
      <c r="XR412" s="832"/>
      <c r="XS412" s="832"/>
      <c r="XT412" s="832"/>
      <c r="XU412" s="832"/>
      <c r="XV412" s="832"/>
      <c r="XW412" s="832"/>
      <c r="XX412" s="832"/>
      <c r="XY412" s="832"/>
      <c r="XZ412" s="832"/>
      <c r="YA412" s="832"/>
      <c r="YB412" s="832"/>
      <c r="YC412" s="832"/>
      <c r="YD412" s="832"/>
      <c r="YE412" s="832"/>
      <c r="YF412" s="832"/>
      <c r="YG412" s="832"/>
      <c r="YH412" s="832"/>
      <c r="YI412" s="832"/>
      <c r="YJ412" s="832"/>
      <c r="YK412" s="832"/>
      <c r="YL412" s="832"/>
      <c r="YM412" s="832"/>
      <c r="YN412" s="832"/>
      <c r="YO412" s="832"/>
      <c r="YP412" s="832"/>
      <c r="YQ412" s="832"/>
      <c r="YR412" s="832"/>
      <c r="YS412" s="832"/>
      <c r="YT412" s="832"/>
      <c r="YU412" s="832"/>
      <c r="YV412" s="832"/>
      <c r="YW412" s="832"/>
      <c r="YX412" s="832"/>
      <c r="YY412" s="832"/>
      <c r="YZ412" s="832"/>
      <c r="ZA412" s="832"/>
      <c r="ZB412" s="832"/>
      <c r="ZC412" s="832"/>
      <c r="ZD412" s="832"/>
      <c r="ZE412" s="832"/>
      <c r="ZF412" s="832"/>
      <c r="ZG412" s="832"/>
      <c r="ZH412" s="832"/>
      <c r="ZI412" s="832"/>
      <c r="ZJ412" s="832"/>
      <c r="ZK412" s="832"/>
      <c r="ZL412" s="832"/>
      <c r="ZM412" s="832"/>
      <c r="ZN412" s="832"/>
      <c r="ZO412" s="832"/>
      <c r="ZP412" s="832"/>
      <c r="ZQ412" s="832"/>
      <c r="ZR412" s="832"/>
      <c r="ZS412" s="832"/>
      <c r="ZT412" s="832"/>
      <c r="ZU412" s="832"/>
      <c r="ZV412" s="832"/>
      <c r="ZW412" s="832"/>
      <c r="ZX412" s="832"/>
      <c r="ZY412" s="832"/>
      <c r="ZZ412" s="832"/>
      <c r="AAA412" s="832"/>
      <c r="AAB412" s="832"/>
      <c r="AAC412" s="832"/>
      <c r="AAD412" s="832"/>
      <c r="AAE412" s="832"/>
      <c r="AAF412" s="832"/>
      <c r="AAG412" s="832"/>
      <c r="AAH412" s="832"/>
      <c r="AAI412" s="832"/>
      <c r="AAJ412" s="832"/>
      <c r="AAK412" s="832"/>
      <c r="AAL412" s="832"/>
      <c r="AAM412" s="832"/>
      <c r="AAN412" s="832"/>
      <c r="AAO412" s="832"/>
      <c r="AAP412" s="832"/>
      <c r="AAQ412" s="832"/>
      <c r="AAR412" s="832"/>
      <c r="AAS412" s="832"/>
      <c r="AAT412" s="832"/>
      <c r="AAU412" s="832"/>
      <c r="AAV412" s="832"/>
      <c r="AAW412" s="832"/>
      <c r="AAX412" s="832"/>
      <c r="AAY412" s="832"/>
      <c r="AAZ412" s="832"/>
      <c r="ABA412" s="832"/>
      <c r="ABB412" s="832"/>
      <c r="ABC412" s="832"/>
      <c r="ABD412" s="832"/>
      <c r="ABE412" s="832"/>
      <c r="ABF412" s="832"/>
      <c r="ABG412" s="832"/>
      <c r="ABH412" s="832"/>
      <c r="ABI412" s="832"/>
      <c r="ABJ412" s="832"/>
      <c r="ABK412" s="832"/>
      <c r="ABL412" s="832"/>
      <c r="ABM412" s="832"/>
      <c r="ABN412" s="832"/>
      <c r="ABO412" s="832"/>
      <c r="ABP412" s="832"/>
      <c r="ABQ412" s="832"/>
      <c r="ABR412" s="832"/>
      <c r="ABS412" s="832"/>
      <c r="ABT412" s="832"/>
      <c r="ABU412" s="832"/>
      <c r="ABV412" s="832"/>
      <c r="ABW412" s="832"/>
      <c r="ABX412" s="832"/>
      <c r="ABY412" s="832"/>
      <c r="ABZ412" s="832"/>
      <c r="ACA412" s="832"/>
      <c r="ACB412" s="832"/>
      <c r="ACC412" s="832"/>
      <c r="ACD412" s="832"/>
      <c r="ACE412" s="832"/>
      <c r="ACF412" s="832"/>
      <c r="ACG412" s="832"/>
      <c r="ACH412" s="832"/>
      <c r="ACI412" s="832"/>
      <c r="ACJ412" s="832"/>
      <c r="ACK412" s="832"/>
      <c r="ACL412" s="832"/>
      <c r="ACM412" s="832"/>
      <c r="ACN412" s="832"/>
      <c r="ACO412" s="832"/>
      <c r="ACP412" s="832"/>
      <c r="ACQ412" s="832"/>
      <c r="ACR412" s="832"/>
      <c r="ACS412" s="832"/>
      <c r="ACT412" s="832"/>
      <c r="ACU412" s="832"/>
      <c r="ACV412" s="832"/>
      <c r="ACW412" s="832"/>
      <c r="ACX412" s="832"/>
      <c r="ACY412" s="832"/>
      <c r="ACZ412" s="832"/>
      <c r="ADA412" s="832"/>
      <c r="ADB412" s="832"/>
      <c r="ADC412" s="832"/>
      <c r="ADD412" s="832"/>
      <c r="ADE412" s="832"/>
      <c r="ADF412" s="832"/>
      <c r="ADG412" s="832"/>
      <c r="ADH412" s="832"/>
      <c r="ADI412" s="832"/>
      <c r="ADJ412" s="832"/>
      <c r="ADK412" s="832"/>
      <c r="ADL412" s="832"/>
      <c r="ADM412" s="832"/>
      <c r="ADN412" s="832"/>
      <c r="ADO412" s="832"/>
      <c r="ADP412" s="832"/>
      <c r="ADQ412" s="832"/>
      <c r="ADR412" s="832"/>
      <c r="ADS412" s="832"/>
      <c r="ADT412" s="832"/>
      <c r="ADU412" s="832"/>
      <c r="ADV412" s="832"/>
      <c r="ADW412" s="832"/>
      <c r="ADX412" s="832"/>
      <c r="ADY412" s="832"/>
      <c r="ADZ412" s="832"/>
      <c r="AEA412" s="832"/>
      <c r="AEB412" s="832"/>
      <c r="AEC412" s="832"/>
      <c r="AED412" s="832"/>
      <c r="AEE412" s="832"/>
      <c r="AEF412" s="832"/>
      <c r="AEG412" s="832"/>
      <c r="AEH412" s="832"/>
      <c r="AEI412" s="832"/>
      <c r="AEJ412" s="832"/>
      <c r="AEK412" s="832"/>
      <c r="AEL412" s="832"/>
      <c r="AEM412" s="832"/>
      <c r="AEN412" s="832"/>
      <c r="AEO412" s="832"/>
      <c r="AEP412" s="832"/>
      <c r="AEQ412" s="832"/>
      <c r="AER412" s="832"/>
      <c r="AES412" s="832"/>
      <c r="AET412" s="832"/>
      <c r="AEU412" s="832"/>
      <c r="AEV412" s="832"/>
      <c r="AEW412" s="832"/>
      <c r="AEX412" s="832"/>
      <c r="AEY412" s="832"/>
      <c r="AEZ412" s="832"/>
      <c r="AFA412" s="832"/>
      <c r="AFB412" s="832"/>
      <c r="AFC412" s="832"/>
      <c r="AFD412" s="832"/>
      <c r="AFE412" s="832"/>
      <c r="AFF412" s="832"/>
      <c r="AFG412" s="832"/>
      <c r="AFH412" s="832"/>
      <c r="AFI412" s="832"/>
      <c r="AFJ412" s="832"/>
      <c r="AFK412" s="832"/>
      <c r="AFL412" s="832"/>
      <c r="AFM412" s="832"/>
      <c r="AFN412" s="832"/>
      <c r="AFO412" s="832"/>
      <c r="AFP412" s="832"/>
      <c r="AFQ412" s="832"/>
      <c r="AFR412" s="832"/>
      <c r="AFS412" s="832"/>
      <c r="AFT412" s="832"/>
      <c r="AFU412" s="832"/>
      <c r="AFV412" s="832"/>
      <c r="AFW412" s="832"/>
      <c r="AFX412" s="832"/>
      <c r="AFY412" s="832"/>
      <c r="AFZ412" s="832"/>
      <c r="AGA412" s="832"/>
      <c r="AGB412" s="832"/>
      <c r="AGC412" s="832"/>
      <c r="AGD412" s="832"/>
      <c r="AGE412" s="832"/>
      <c r="AGF412" s="832"/>
      <c r="AGG412" s="832"/>
      <c r="AGH412" s="832"/>
      <c r="AGI412" s="832"/>
      <c r="AGJ412" s="832"/>
      <c r="AGK412" s="832"/>
      <c r="AGL412" s="832"/>
      <c r="AGM412" s="832"/>
      <c r="AGN412" s="832"/>
      <c r="AGO412" s="832"/>
      <c r="AGP412" s="832"/>
      <c r="AGQ412" s="832"/>
      <c r="AGR412" s="832"/>
      <c r="AGS412" s="832"/>
      <c r="AGT412" s="832"/>
      <c r="AGU412" s="832"/>
      <c r="AGV412" s="832"/>
      <c r="AGW412" s="832"/>
      <c r="AGX412" s="832"/>
      <c r="AGY412" s="832"/>
      <c r="AGZ412" s="832"/>
      <c r="AHA412" s="832"/>
      <c r="AHB412" s="832"/>
      <c r="AHC412" s="832"/>
      <c r="AHD412" s="832"/>
      <c r="AHE412" s="832"/>
      <c r="AHF412" s="832"/>
      <c r="AHG412" s="832"/>
      <c r="AHH412" s="832"/>
      <c r="AHI412" s="832"/>
      <c r="AHJ412" s="832"/>
      <c r="AHK412" s="832"/>
      <c r="AHL412" s="832"/>
      <c r="AHM412" s="832"/>
      <c r="AHN412" s="832"/>
      <c r="AHO412" s="832"/>
      <c r="AHP412" s="832"/>
      <c r="AHQ412" s="832"/>
      <c r="AHR412" s="832"/>
      <c r="AHS412" s="832"/>
      <c r="AHT412" s="832"/>
      <c r="AHU412" s="832"/>
      <c r="AHV412" s="832"/>
      <c r="AHW412" s="832"/>
      <c r="AHX412" s="832"/>
      <c r="AHY412" s="832"/>
      <c r="AHZ412" s="832"/>
      <c r="AIA412" s="832"/>
      <c r="AIB412" s="832"/>
      <c r="AIC412" s="832"/>
      <c r="AID412" s="832"/>
      <c r="AIE412" s="832"/>
      <c r="AIF412" s="832"/>
      <c r="AIG412" s="832"/>
      <c r="AIH412" s="832"/>
      <c r="AII412" s="832"/>
      <c r="AIJ412" s="832"/>
      <c r="AIK412" s="832"/>
      <c r="AIL412" s="832"/>
      <c r="AIM412" s="832"/>
      <c r="AIN412" s="832"/>
      <c r="AIO412" s="832"/>
      <c r="AIP412" s="832"/>
      <c r="AIQ412" s="832"/>
      <c r="AIR412" s="832"/>
      <c r="AIS412" s="832"/>
      <c r="AIT412" s="832"/>
      <c r="AIU412" s="832"/>
      <c r="AIV412" s="832"/>
      <c r="AIW412" s="832"/>
      <c r="AIX412" s="832"/>
      <c r="AIY412" s="832"/>
      <c r="AIZ412" s="832"/>
      <c r="AJA412" s="832"/>
      <c r="AJB412" s="832"/>
      <c r="AJC412" s="832"/>
      <c r="AJD412" s="832"/>
      <c r="AJE412" s="832"/>
      <c r="AJF412" s="832"/>
      <c r="AJG412" s="832"/>
      <c r="AJH412" s="832"/>
      <c r="AJI412" s="832"/>
      <c r="AJJ412" s="832"/>
      <c r="AJK412" s="832"/>
      <c r="AJL412" s="832"/>
      <c r="AJM412" s="832"/>
      <c r="AJN412" s="832"/>
      <c r="AJO412" s="832"/>
      <c r="AJP412" s="832"/>
      <c r="AJQ412" s="832"/>
      <c r="AJR412" s="832"/>
      <c r="AJS412" s="832"/>
      <c r="AJT412" s="832"/>
      <c r="AJU412" s="832"/>
      <c r="AJV412" s="832"/>
      <c r="AJW412" s="832"/>
      <c r="AJX412" s="832"/>
      <c r="AJY412" s="832"/>
      <c r="AJZ412" s="832"/>
      <c r="AKA412" s="832"/>
      <c r="AKB412" s="832"/>
      <c r="AKC412" s="832"/>
      <c r="AKD412" s="832"/>
      <c r="AKE412" s="832"/>
      <c r="AKF412" s="832"/>
      <c r="AKG412" s="832"/>
      <c r="AKH412" s="832"/>
      <c r="AKI412" s="832"/>
      <c r="AKJ412" s="832"/>
      <c r="AKK412" s="832"/>
      <c r="AKL412" s="832"/>
      <c r="AKM412" s="832"/>
      <c r="AKN412" s="832"/>
      <c r="AKO412" s="832"/>
      <c r="AKP412" s="832"/>
      <c r="AKQ412" s="832"/>
      <c r="AKR412" s="832"/>
      <c r="AKS412" s="832"/>
      <c r="AKT412" s="832"/>
      <c r="AKU412" s="832"/>
      <c r="AKV412" s="832"/>
      <c r="AKW412" s="832"/>
      <c r="AKX412" s="832"/>
      <c r="AKY412" s="832"/>
      <c r="AKZ412" s="832"/>
      <c r="ALA412" s="832"/>
      <c r="ALB412" s="832"/>
      <c r="ALC412" s="832"/>
      <c r="ALD412" s="832"/>
      <c r="ALE412" s="832"/>
      <c r="ALF412" s="832"/>
      <c r="ALG412" s="832"/>
      <c r="ALH412" s="832"/>
      <c r="ALI412" s="832"/>
      <c r="ALJ412" s="832"/>
      <c r="ALK412" s="832"/>
      <c r="ALL412" s="832"/>
      <c r="ALM412" s="832"/>
      <c r="ALN412" s="832"/>
      <c r="ALO412" s="832"/>
      <c r="ALP412" s="832"/>
      <c r="ALQ412" s="832"/>
      <c r="ALR412" s="832"/>
      <c r="ALS412" s="832"/>
      <c r="ALT412" s="832"/>
      <c r="ALU412" s="832"/>
      <c r="ALV412" s="832"/>
      <c r="ALW412" s="832"/>
      <c r="ALX412" s="832"/>
      <c r="ALY412" s="832"/>
      <c r="ALZ412" s="832"/>
      <c r="AMA412" s="832"/>
      <c r="AMB412" s="832"/>
      <c r="AMC412" s="832"/>
      <c r="AMD412" s="832"/>
      <c r="AME412" s="832"/>
      <c r="AMF412" s="832"/>
      <c r="AMG412" s="832"/>
      <c r="AMH412" s="832"/>
      <c r="AMI412" s="832"/>
      <c r="AMJ412" s="832"/>
      <c r="AMK412" s="832"/>
      <c r="AML412" s="832"/>
    </row>
    <row r="413" spans="1:1026" s="388" customFormat="1" ht="38.1" customHeight="1" outlineLevel="1">
      <c r="A413" s="885"/>
      <c r="B413" s="444" t="s">
        <v>1082</v>
      </c>
      <c r="C413" s="886" t="s">
        <v>1083</v>
      </c>
      <c r="D413" s="451" t="s">
        <v>1084</v>
      </c>
      <c r="E413" s="449" t="s">
        <v>60</v>
      </c>
      <c r="F413" s="987">
        <f>Plan1!D385</f>
        <v>3</v>
      </c>
      <c r="G413" s="925">
        <f t="shared" si="123"/>
        <v>178.1</v>
      </c>
      <c r="H413" s="889">
        <f t="shared" si="124"/>
        <v>534.29999999999995</v>
      </c>
      <c r="I413" s="885"/>
      <c r="J413" s="915">
        <f>composições!F1116</f>
        <v>140.668926</v>
      </c>
      <c r="K413" s="916">
        <f t="shared" si="109"/>
        <v>178.1</v>
      </c>
      <c r="L413" s="832"/>
      <c r="M413" s="832"/>
      <c r="N413" s="832"/>
      <c r="O413" s="832"/>
      <c r="P413" s="832"/>
      <c r="Q413" s="832"/>
      <c r="R413" s="832"/>
      <c r="S413" s="832"/>
      <c r="T413" s="832"/>
      <c r="U413" s="832"/>
      <c r="V413" s="832"/>
      <c r="W413" s="832"/>
      <c r="X413" s="832"/>
      <c r="Y413" s="832"/>
      <c r="Z413" s="832"/>
      <c r="AA413" s="832"/>
      <c r="AB413" s="832"/>
      <c r="AC413" s="832"/>
      <c r="AD413" s="832"/>
      <c r="AE413" s="832"/>
      <c r="AF413" s="832"/>
      <c r="AG413" s="832"/>
      <c r="AH413" s="832"/>
      <c r="AI413" s="832"/>
      <c r="AJ413" s="832"/>
      <c r="AK413" s="832"/>
      <c r="AL413" s="832"/>
      <c r="AM413" s="832"/>
      <c r="AN413" s="832"/>
      <c r="AO413" s="832"/>
      <c r="AP413" s="832"/>
      <c r="AQ413" s="832"/>
      <c r="AR413" s="832"/>
      <c r="AS413" s="832"/>
      <c r="AT413" s="832"/>
      <c r="AU413" s="832"/>
      <c r="AV413" s="832"/>
      <c r="AW413" s="832"/>
      <c r="AX413" s="832"/>
      <c r="AY413" s="832"/>
      <c r="AZ413" s="832"/>
      <c r="BA413" s="832"/>
      <c r="BB413" s="832"/>
      <c r="BC413" s="832"/>
      <c r="BD413" s="832"/>
      <c r="BE413" s="832"/>
      <c r="BF413" s="832"/>
      <c r="BG413" s="832"/>
      <c r="BH413" s="832"/>
      <c r="BI413" s="832"/>
      <c r="BJ413" s="832"/>
      <c r="BK413" s="832"/>
      <c r="BL413" s="832"/>
      <c r="BM413" s="832"/>
      <c r="BN413" s="832"/>
      <c r="BO413" s="832"/>
      <c r="BP413" s="832"/>
      <c r="BQ413" s="832"/>
      <c r="BR413" s="832"/>
      <c r="BS413" s="832"/>
      <c r="BT413" s="832"/>
      <c r="BU413" s="832"/>
      <c r="BV413" s="832"/>
      <c r="BW413" s="832"/>
      <c r="BX413" s="832"/>
      <c r="BY413" s="832"/>
      <c r="BZ413" s="832"/>
      <c r="CA413" s="832"/>
      <c r="CB413" s="832"/>
      <c r="CC413" s="832"/>
      <c r="CD413" s="832"/>
      <c r="CE413" s="832"/>
      <c r="CF413" s="832"/>
      <c r="CG413" s="832"/>
      <c r="CH413" s="832"/>
      <c r="CI413" s="832"/>
      <c r="CJ413" s="832"/>
      <c r="CK413" s="832"/>
      <c r="CL413" s="832"/>
      <c r="CM413" s="832"/>
      <c r="CN413" s="832"/>
      <c r="CO413" s="832"/>
      <c r="CP413" s="832"/>
      <c r="CQ413" s="832"/>
      <c r="CR413" s="832"/>
      <c r="CS413" s="832"/>
      <c r="CT413" s="832"/>
      <c r="CU413" s="832"/>
      <c r="CV413" s="832"/>
      <c r="CW413" s="832"/>
      <c r="CX413" s="832"/>
      <c r="CY413" s="832"/>
      <c r="CZ413" s="832"/>
      <c r="DA413" s="832"/>
      <c r="DB413" s="832"/>
      <c r="DC413" s="832"/>
      <c r="DD413" s="832"/>
      <c r="DE413" s="832"/>
      <c r="DF413" s="832"/>
      <c r="DG413" s="832"/>
      <c r="DH413" s="832"/>
      <c r="DI413" s="832"/>
      <c r="DJ413" s="832"/>
      <c r="DK413" s="832"/>
      <c r="DL413" s="832"/>
      <c r="DM413" s="832"/>
      <c r="DN413" s="832"/>
      <c r="DO413" s="832"/>
      <c r="DP413" s="832"/>
      <c r="DQ413" s="832"/>
      <c r="DR413" s="832"/>
      <c r="DS413" s="832"/>
      <c r="DT413" s="832"/>
      <c r="DU413" s="832"/>
      <c r="DV413" s="832"/>
      <c r="DW413" s="832"/>
      <c r="DX413" s="832"/>
      <c r="DY413" s="832"/>
      <c r="DZ413" s="832"/>
      <c r="EA413" s="832"/>
      <c r="EB413" s="832"/>
      <c r="EC413" s="832"/>
      <c r="ED413" s="832"/>
      <c r="EE413" s="832"/>
      <c r="EF413" s="832"/>
      <c r="EG413" s="832"/>
      <c r="EH413" s="832"/>
      <c r="EI413" s="832"/>
      <c r="EJ413" s="832"/>
      <c r="EK413" s="832"/>
      <c r="EL413" s="832"/>
      <c r="EM413" s="832"/>
      <c r="EN413" s="832"/>
      <c r="EO413" s="832"/>
      <c r="EP413" s="832"/>
      <c r="EQ413" s="832"/>
      <c r="ER413" s="832"/>
      <c r="ES413" s="832"/>
      <c r="ET413" s="832"/>
      <c r="EU413" s="832"/>
      <c r="EV413" s="832"/>
      <c r="EW413" s="832"/>
      <c r="EX413" s="832"/>
      <c r="EY413" s="832"/>
      <c r="EZ413" s="832"/>
      <c r="FA413" s="832"/>
      <c r="FB413" s="832"/>
      <c r="FC413" s="832"/>
      <c r="FD413" s="832"/>
      <c r="FE413" s="832"/>
      <c r="FF413" s="832"/>
      <c r="FG413" s="832"/>
      <c r="FH413" s="832"/>
      <c r="FI413" s="832"/>
      <c r="FJ413" s="832"/>
      <c r="FK413" s="832"/>
      <c r="FL413" s="832"/>
      <c r="FM413" s="832"/>
      <c r="FN413" s="832"/>
      <c r="FO413" s="832"/>
      <c r="FP413" s="832"/>
      <c r="FQ413" s="832"/>
      <c r="FR413" s="832"/>
      <c r="FS413" s="832"/>
      <c r="FT413" s="832"/>
      <c r="FU413" s="832"/>
      <c r="FV413" s="832"/>
      <c r="FW413" s="832"/>
      <c r="FX413" s="832"/>
      <c r="FY413" s="832"/>
      <c r="FZ413" s="832"/>
      <c r="GA413" s="832"/>
      <c r="GB413" s="832"/>
      <c r="GC413" s="832"/>
      <c r="GD413" s="832"/>
      <c r="GE413" s="832"/>
      <c r="GF413" s="832"/>
      <c r="GG413" s="832"/>
      <c r="GH413" s="832"/>
      <c r="GI413" s="832"/>
      <c r="GJ413" s="832"/>
      <c r="GK413" s="832"/>
      <c r="GL413" s="832"/>
      <c r="GM413" s="832"/>
      <c r="GN413" s="832"/>
      <c r="GO413" s="832"/>
      <c r="GP413" s="832"/>
      <c r="GQ413" s="832"/>
      <c r="GR413" s="832"/>
      <c r="GS413" s="832"/>
      <c r="GT413" s="832"/>
      <c r="GU413" s="832"/>
      <c r="GV413" s="832"/>
      <c r="GW413" s="832"/>
      <c r="GX413" s="832"/>
      <c r="GY413" s="832"/>
      <c r="GZ413" s="832"/>
      <c r="HA413" s="832"/>
      <c r="HB413" s="832"/>
      <c r="HC413" s="832"/>
      <c r="HD413" s="832"/>
      <c r="HE413" s="832"/>
      <c r="HF413" s="832"/>
      <c r="HG413" s="832"/>
      <c r="HH413" s="832"/>
      <c r="HI413" s="832"/>
      <c r="HJ413" s="832"/>
      <c r="HK413" s="832"/>
      <c r="HL413" s="832"/>
      <c r="HM413" s="832"/>
      <c r="HN413" s="832"/>
      <c r="HO413" s="832"/>
      <c r="HP413" s="832"/>
      <c r="HQ413" s="832"/>
      <c r="HR413" s="832"/>
      <c r="HS413" s="832"/>
      <c r="HT413" s="832"/>
      <c r="HU413" s="832"/>
      <c r="HV413" s="832"/>
      <c r="HW413" s="832"/>
      <c r="HX413" s="832"/>
      <c r="HY413" s="832"/>
      <c r="HZ413" s="832"/>
      <c r="IA413" s="832"/>
      <c r="IB413" s="832"/>
      <c r="IC413" s="832"/>
      <c r="ID413" s="832"/>
      <c r="IE413" s="832"/>
      <c r="IF413" s="832"/>
      <c r="IG413" s="832"/>
      <c r="IH413" s="832"/>
      <c r="II413" s="832"/>
      <c r="IJ413" s="832"/>
      <c r="IK413" s="832"/>
      <c r="IL413" s="832"/>
      <c r="IM413" s="832"/>
      <c r="IN413" s="832"/>
      <c r="IO413" s="832"/>
      <c r="IP413" s="832"/>
      <c r="IQ413" s="832"/>
      <c r="IR413" s="832"/>
      <c r="IS413" s="832"/>
      <c r="IT413" s="832"/>
      <c r="IU413" s="832"/>
      <c r="IV413" s="832"/>
      <c r="IW413" s="832"/>
      <c r="IX413" s="832"/>
      <c r="IY413" s="832"/>
      <c r="IZ413" s="832"/>
      <c r="JA413" s="832"/>
      <c r="JB413" s="832"/>
      <c r="JC413" s="832"/>
      <c r="JD413" s="832"/>
      <c r="JE413" s="832"/>
      <c r="JF413" s="832"/>
      <c r="JG413" s="832"/>
      <c r="JH413" s="832"/>
      <c r="JI413" s="832"/>
      <c r="JJ413" s="832"/>
      <c r="JK413" s="832"/>
      <c r="JL413" s="832"/>
      <c r="JM413" s="832"/>
      <c r="JN413" s="832"/>
      <c r="JO413" s="832"/>
      <c r="JP413" s="832"/>
      <c r="JQ413" s="832"/>
      <c r="JR413" s="832"/>
      <c r="JS413" s="832"/>
      <c r="JT413" s="832"/>
      <c r="JU413" s="832"/>
      <c r="JV413" s="832"/>
      <c r="JW413" s="832"/>
      <c r="JX413" s="832"/>
      <c r="JY413" s="832"/>
      <c r="JZ413" s="832"/>
      <c r="KA413" s="832"/>
      <c r="KB413" s="832"/>
      <c r="KC413" s="832"/>
      <c r="KD413" s="832"/>
      <c r="KE413" s="832"/>
      <c r="KF413" s="832"/>
      <c r="KG413" s="832"/>
      <c r="KH413" s="832"/>
      <c r="KI413" s="832"/>
      <c r="KJ413" s="832"/>
      <c r="KK413" s="832"/>
      <c r="KL413" s="832"/>
      <c r="KM413" s="832"/>
      <c r="KN413" s="832"/>
      <c r="KO413" s="832"/>
      <c r="KP413" s="832"/>
      <c r="KQ413" s="832"/>
      <c r="KR413" s="832"/>
      <c r="KS413" s="832"/>
      <c r="KT413" s="832"/>
      <c r="KU413" s="832"/>
      <c r="KV413" s="832"/>
      <c r="KW413" s="832"/>
      <c r="KX413" s="832"/>
      <c r="KY413" s="832"/>
      <c r="KZ413" s="832"/>
      <c r="LA413" s="832"/>
      <c r="LB413" s="832"/>
      <c r="LC413" s="832"/>
      <c r="LD413" s="832"/>
      <c r="LE413" s="832"/>
      <c r="LF413" s="832"/>
      <c r="LG413" s="832"/>
      <c r="LH413" s="832"/>
      <c r="LI413" s="832"/>
      <c r="LJ413" s="832"/>
      <c r="LK413" s="832"/>
      <c r="LL413" s="832"/>
      <c r="LM413" s="832"/>
      <c r="LN413" s="832"/>
      <c r="LO413" s="832"/>
      <c r="LP413" s="832"/>
      <c r="LQ413" s="832"/>
      <c r="LR413" s="832"/>
      <c r="LS413" s="832"/>
      <c r="LT413" s="832"/>
      <c r="LU413" s="832"/>
      <c r="LV413" s="832"/>
      <c r="LW413" s="832"/>
      <c r="LX413" s="832"/>
      <c r="LY413" s="832"/>
      <c r="LZ413" s="832"/>
      <c r="MA413" s="832"/>
      <c r="MB413" s="832"/>
      <c r="MC413" s="832"/>
      <c r="MD413" s="832"/>
      <c r="ME413" s="832"/>
      <c r="MF413" s="832"/>
      <c r="MG413" s="832"/>
      <c r="MH413" s="832"/>
      <c r="MI413" s="832"/>
      <c r="MJ413" s="832"/>
      <c r="MK413" s="832"/>
      <c r="ML413" s="832"/>
      <c r="MM413" s="832"/>
      <c r="MN413" s="832"/>
      <c r="MO413" s="832"/>
      <c r="MP413" s="832"/>
      <c r="MQ413" s="832"/>
      <c r="MR413" s="832"/>
      <c r="MS413" s="832"/>
      <c r="MT413" s="832"/>
      <c r="MU413" s="832"/>
      <c r="MV413" s="832"/>
      <c r="MW413" s="832"/>
      <c r="MX413" s="832"/>
      <c r="MY413" s="832"/>
      <c r="MZ413" s="832"/>
      <c r="NA413" s="832"/>
      <c r="NB413" s="832"/>
      <c r="NC413" s="832"/>
      <c r="ND413" s="832"/>
      <c r="NE413" s="832"/>
      <c r="NF413" s="832"/>
      <c r="NG413" s="832"/>
      <c r="NH413" s="832"/>
      <c r="NI413" s="832"/>
      <c r="NJ413" s="832"/>
      <c r="NK413" s="832"/>
      <c r="NL413" s="832"/>
      <c r="NM413" s="832"/>
      <c r="NN413" s="832"/>
      <c r="NO413" s="832"/>
      <c r="NP413" s="832"/>
      <c r="NQ413" s="832"/>
      <c r="NR413" s="832"/>
      <c r="NS413" s="832"/>
      <c r="NT413" s="832"/>
      <c r="NU413" s="832"/>
      <c r="NV413" s="832"/>
      <c r="NW413" s="832"/>
      <c r="NX413" s="832"/>
      <c r="NY413" s="832"/>
      <c r="NZ413" s="832"/>
      <c r="OA413" s="832"/>
      <c r="OB413" s="832"/>
      <c r="OC413" s="832"/>
      <c r="OD413" s="832"/>
      <c r="OE413" s="832"/>
      <c r="OF413" s="832"/>
      <c r="OG413" s="832"/>
      <c r="OH413" s="832"/>
      <c r="OI413" s="832"/>
      <c r="OJ413" s="832"/>
      <c r="OK413" s="832"/>
      <c r="OL413" s="832"/>
      <c r="OM413" s="832"/>
      <c r="ON413" s="832"/>
      <c r="OO413" s="832"/>
      <c r="OP413" s="832"/>
      <c r="OQ413" s="832"/>
      <c r="OR413" s="832"/>
      <c r="OS413" s="832"/>
      <c r="OT413" s="832"/>
      <c r="OU413" s="832"/>
      <c r="OV413" s="832"/>
      <c r="OW413" s="832"/>
      <c r="OX413" s="832"/>
      <c r="OY413" s="832"/>
      <c r="OZ413" s="832"/>
      <c r="PA413" s="832"/>
      <c r="PB413" s="832"/>
      <c r="PC413" s="832"/>
      <c r="PD413" s="832"/>
      <c r="PE413" s="832"/>
      <c r="PF413" s="832"/>
      <c r="PG413" s="832"/>
      <c r="PH413" s="832"/>
      <c r="PI413" s="832"/>
      <c r="PJ413" s="832"/>
      <c r="PK413" s="832"/>
      <c r="PL413" s="832"/>
      <c r="PM413" s="832"/>
      <c r="PN413" s="832"/>
      <c r="PO413" s="832"/>
      <c r="PP413" s="832"/>
      <c r="PQ413" s="832"/>
      <c r="PR413" s="832"/>
      <c r="PS413" s="832"/>
      <c r="PT413" s="832"/>
      <c r="PU413" s="832"/>
      <c r="PV413" s="832"/>
      <c r="PW413" s="832"/>
      <c r="PX413" s="832"/>
      <c r="PY413" s="832"/>
      <c r="PZ413" s="832"/>
      <c r="QA413" s="832"/>
      <c r="QB413" s="832"/>
      <c r="QC413" s="832"/>
      <c r="QD413" s="832"/>
      <c r="QE413" s="832"/>
      <c r="QF413" s="832"/>
      <c r="QG413" s="832"/>
      <c r="QH413" s="832"/>
      <c r="QI413" s="832"/>
      <c r="QJ413" s="832"/>
      <c r="QK413" s="832"/>
      <c r="QL413" s="832"/>
      <c r="QM413" s="832"/>
      <c r="QN413" s="832"/>
      <c r="QO413" s="832"/>
      <c r="QP413" s="832"/>
      <c r="QQ413" s="832"/>
      <c r="QR413" s="832"/>
      <c r="QS413" s="832"/>
      <c r="QT413" s="832"/>
      <c r="QU413" s="832"/>
      <c r="QV413" s="832"/>
      <c r="QW413" s="832"/>
      <c r="QX413" s="832"/>
      <c r="QY413" s="832"/>
      <c r="QZ413" s="832"/>
      <c r="RA413" s="832"/>
      <c r="RB413" s="832"/>
      <c r="RC413" s="832"/>
      <c r="RD413" s="832"/>
      <c r="RE413" s="832"/>
      <c r="RF413" s="832"/>
      <c r="RG413" s="832"/>
      <c r="RH413" s="832"/>
      <c r="RI413" s="832"/>
      <c r="RJ413" s="832"/>
      <c r="RK413" s="832"/>
      <c r="RL413" s="832"/>
      <c r="RM413" s="832"/>
      <c r="RN413" s="832"/>
      <c r="RO413" s="832"/>
      <c r="RP413" s="832"/>
      <c r="RQ413" s="832"/>
      <c r="RR413" s="832"/>
      <c r="RS413" s="832"/>
      <c r="RT413" s="832"/>
      <c r="RU413" s="832"/>
      <c r="RV413" s="832"/>
      <c r="RW413" s="832"/>
      <c r="RX413" s="832"/>
      <c r="RY413" s="832"/>
      <c r="RZ413" s="832"/>
      <c r="SA413" s="832"/>
      <c r="SB413" s="832"/>
      <c r="SC413" s="832"/>
      <c r="SD413" s="832"/>
      <c r="SE413" s="832"/>
      <c r="SF413" s="832"/>
      <c r="SG413" s="832"/>
      <c r="SH413" s="832"/>
      <c r="SI413" s="832"/>
      <c r="SJ413" s="832"/>
      <c r="SK413" s="832"/>
      <c r="SL413" s="832"/>
      <c r="SM413" s="832"/>
      <c r="SN413" s="832"/>
      <c r="SO413" s="832"/>
      <c r="SP413" s="832"/>
      <c r="SQ413" s="832"/>
      <c r="SR413" s="832"/>
      <c r="SS413" s="832"/>
      <c r="ST413" s="832"/>
      <c r="SU413" s="832"/>
      <c r="SV413" s="832"/>
      <c r="SW413" s="832"/>
      <c r="SX413" s="832"/>
      <c r="SY413" s="832"/>
      <c r="SZ413" s="832"/>
      <c r="TA413" s="832"/>
      <c r="TB413" s="832"/>
      <c r="TC413" s="832"/>
      <c r="TD413" s="832"/>
      <c r="TE413" s="832"/>
      <c r="TF413" s="832"/>
      <c r="TG413" s="832"/>
      <c r="TH413" s="832"/>
      <c r="TI413" s="832"/>
      <c r="TJ413" s="832"/>
      <c r="TK413" s="832"/>
      <c r="TL413" s="832"/>
      <c r="TM413" s="832"/>
      <c r="TN413" s="832"/>
      <c r="TO413" s="832"/>
      <c r="TP413" s="832"/>
      <c r="TQ413" s="832"/>
      <c r="TR413" s="832"/>
      <c r="TS413" s="832"/>
      <c r="TT413" s="832"/>
      <c r="TU413" s="832"/>
      <c r="TV413" s="832"/>
      <c r="TW413" s="832"/>
      <c r="TX413" s="832"/>
      <c r="TY413" s="832"/>
      <c r="TZ413" s="832"/>
      <c r="UA413" s="832"/>
      <c r="UB413" s="832"/>
      <c r="UC413" s="832"/>
      <c r="UD413" s="832"/>
      <c r="UE413" s="832"/>
      <c r="UF413" s="832"/>
      <c r="UG413" s="832"/>
      <c r="UH413" s="832"/>
      <c r="UI413" s="832"/>
      <c r="UJ413" s="832"/>
      <c r="UK413" s="832"/>
      <c r="UL413" s="832"/>
      <c r="UM413" s="832"/>
      <c r="UN413" s="832"/>
      <c r="UO413" s="832"/>
      <c r="UP413" s="832"/>
      <c r="UQ413" s="832"/>
      <c r="UR413" s="832"/>
      <c r="US413" s="832"/>
      <c r="UT413" s="832"/>
      <c r="UU413" s="832"/>
      <c r="UV413" s="832"/>
      <c r="UW413" s="832"/>
      <c r="UX413" s="832"/>
      <c r="UY413" s="832"/>
      <c r="UZ413" s="832"/>
      <c r="VA413" s="832"/>
      <c r="VB413" s="832"/>
      <c r="VC413" s="832"/>
      <c r="VD413" s="832"/>
      <c r="VE413" s="832"/>
      <c r="VF413" s="832"/>
      <c r="VG413" s="832"/>
      <c r="VH413" s="832"/>
      <c r="VI413" s="832"/>
      <c r="VJ413" s="832"/>
      <c r="VK413" s="832"/>
      <c r="VL413" s="832"/>
      <c r="VM413" s="832"/>
      <c r="VN413" s="832"/>
      <c r="VO413" s="832"/>
      <c r="VP413" s="832"/>
      <c r="VQ413" s="832"/>
      <c r="VR413" s="832"/>
      <c r="VS413" s="832"/>
      <c r="VT413" s="832"/>
      <c r="VU413" s="832"/>
      <c r="VV413" s="832"/>
      <c r="VW413" s="832"/>
      <c r="VX413" s="832"/>
      <c r="VY413" s="832"/>
      <c r="VZ413" s="832"/>
      <c r="WA413" s="832"/>
      <c r="WB413" s="832"/>
      <c r="WC413" s="832"/>
      <c r="WD413" s="832"/>
      <c r="WE413" s="832"/>
      <c r="WF413" s="832"/>
      <c r="WG413" s="832"/>
      <c r="WH413" s="832"/>
      <c r="WI413" s="832"/>
      <c r="WJ413" s="832"/>
      <c r="WK413" s="832"/>
      <c r="WL413" s="832"/>
      <c r="WM413" s="832"/>
      <c r="WN413" s="832"/>
      <c r="WO413" s="832"/>
      <c r="WP413" s="832"/>
      <c r="WQ413" s="832"/>
      <c r="WR413" s="832"/>
      <c r="WS413" s="832"/>
      <c r="WT413" s="832"/>
      <c r="WU413" s="832"/>
      <c r="WV413" s="832"/>
      <c r="WW413" s="832"/>
      <c r="WX413" s="832"/>
      <c r="WY413" s="832"/>
      <c r="WZ413" s="832"/>
      <c r="XA413" s="832"/>
      <c r="XB413" s="832"/>
      <c r="XC413" s="832"/>
      <c r="XD413" s="832"/>
      <c r="XE413" s="832"/>
      <c r="XF413" s="832"/>
      <c r="XG413" s="832"/>
      <c r="XH413" s="832"/>
      <c r="XI413" s="832"/>
      <c r="XJ413" s="832"/>
      <c r="XK413" s="832"/>
      <c r="XL413" s="832"/>
      <c r="XM413" s="832"/>
      <c r="XN413" s="832"/>
      <c r="XO413" s="832"/>
      <c r="XP413" s="832"/>
      <c r="XQ413" s="832"/>
      <c r="XR413" s="832"/>
      <c r="XS413" s="832"/>
      <c r="XT413" s="832"/>
      <c r="XU413" s="832"/>
      <c r="XV413" s="832"/>
      <c r="XW413" s="832"/>
      <c r="XX413" s="832"/>
      <c r="XY413" s="832"/>
      <c r="XZ413" s="832"/>
      <c r="YA413" s="832"/>
      <c r="YB413" s="832"/>
      <c r="YC413" s="832"/>
      <c r="YD413" s="832"/>
      <c r="YE413" s="832"/>
      <c r="YF413" s="832"/>
      <c r="YG413" s="832"/>
      <c r="YH413" s="832"/>
      <c r="YI413" s="832"/>
      <c r="YJ413" s="832"/>
      <c r="YK413" s="832"/>
      <c r="YL413" s="832"/>
      <c r="YM413" s="832"/>
      <c r="YN413" s="832"/>
      <c r="YO413" s="832"/>
      <c r="YP413" s="832"/>
      <c r="YQ413" s="832"/>
      <c r="YR413" s="832"/>
      <c r="YS413" s="832"/>
      <c r="YT413" s="832"/>
      <c r="YU413" s="832"/>
      <c r="YV413" s="832"/>
      <c r="YW413" s="832"/>
      <c r="YX413" s="832"/>
      <c r="YY413" s="832"/>
      <c r="YZ413" s="832"/>
      <c r="ZA413" s="832"/>
      <c r="ZB413" s="832"/>
      <c r="ZC413" s="832"/>
      <c r="ZD413" s="832"/>
      <c r="ZE413" s="832"/>
      <c r="ZF413" s="832"/>
      <c r="ZG413" s="832"/>
      <c r="ZH413" s="832"/>
      <c r="ZI413" s="832"/>
      <c r="ZJ413" s="832"/>
      <c r="ZK413" s="832"/>
      <c r="ZL413" s="832"/>
      <c r="ZM413" s="832"/>
      <c r="ZN413" s="832"/>
      <c r="ZO413" s="832"/>
      <c r="ZP413" s="832"/>
      <c r="ZQ413" s="832"/>
      <c r="ZR413" s="832"/>
      <c r="ZS413" s="832"/>
      <c r="ZT413" s="832"/>
      <c r="ZU413" s="832"/>
      <c r="ZV413" s="832"/>
      <c r="ZW413" s="832"/>
      <c r="ZX413" s="832"/>
      <c r="ZY413" s="832"/>
      <c r="ZZ413" s="832"/>
      <c r="AAA413" s="832"/>
      <c r="AAB413" s="832"/>
      <c r="AAC413" s="832"/>
      <c r="AAD413" s="832"/>
      <c r="AAE413" s="832"/>
      <c r="AAF413" s="832"/>
      <c r="AAG413" s="832"/>
      <c r="AAH413" s="832"/>
      <c r="AAI413" s="832"/>
      <c r="AAJ413" s="832"/>
      <c r="AAK413" s="832"/>
      <c r="AAL413" s="832"/>
      <c r="AAM413" s="832"/>
      <c r="AAN413" s="832"/>
      <c r="AAO413" s="832"/>
      <c r="AAP413" s="832"/>
      <c r="AAQ413" s="832"/>
      <c r="AAR413" s="832"/>
      <c r="AAS413" s="832"/>
      <c r="AAT413" s="832"/>
      <c r="AAU413" s="832"/>
      <c r="AAV413" s="832"/>
      <c r="AAW413" s="832"/>
      <c r="AAX413" s="832"/>
      <c r="AAY413" s="832"/>
      <c r="AAZ413" s="832"/>
      <c r="ABA413" s="832"/>
      <c r="ABB413" s="832"/>
      <c r="ABC413" s="832"/>
      <c r="ABD413" s="832"/>
      <c r="ABE413" s="832"/>
      <c r="ABF413" s="832"/>
      <c r="ABG413" s="832"/>
      <c r="ABH413" s="832"/>
      <c r="ABI413" s="832"/>
      <c r="ABJ413" s="832"/>
      <c r="ABK413" s="832"/>
      <c r="ABL413" s="832"/>
      <c r="ABM413" s="832"/>
      <c r="ABN413" s="832"/>
      <c r="ABO413" s="832"/>
      <c r="ABP413" s="832"/>
      <c r="ABQ413" s="832"/>
      <c r="ABR413" s="832"/>
      <c r="ABS413" s="832"/>
      <c r="ABT413" s="832"/>
      <c r="ABU413" s="832"/>
      <c r="ABV413" s="832"/>
      <c r="ABW413" s="832"/>
      <c r="ABX413" s="832"/>
      <c r="ABY413" s="832"/>
      <c r="ABZ413" s="832"/>
      <c r="ACA413" s="832"/>
      <c r="ACB413" s="832"/>
      <c r="ACC413" s="832"/>
      <c r="ACD413" s="832"/>
      <c r="ACE413" s="832"/>
      <c r="ACF413" s="832"/>
      <c r="ACG413" s="832"/>
      <c r="ACH413" s="832"/>
      <c r="ACI413" s="832"/>
      <c r="ACJ413" s="832"/>
      <c r="ACK413" s="832"/>
      <c r="ACL413" s="832"/>
      <c r="ACM413" s="832"/>
      <c r="ACN413" s="832"/>
      <c r="ACO413" s="832"/>
      <c r="ACP413" s="832"/>
      <c r="ACQ413" s="832"/>
      <c r="ACR413" s="832"/>
      <c r="ACS413" s="832"/>
      <c r="ACT413" s="832"/>
      <c r="ACU413" s="832"/>
      <c r="ACV413" s="832"/>
      <c r="ACW413" s="832"/>
      <c r="ACX413" s="832"/>
      <c r="ACY413" s="832"/>
      <c r="ACZ413" s="832"/>
      <c r="ADA413" s="832"/>
      <c r="ADB413" s="832"/>
      <c r="ADC413" s="832"/>
      <c r="ADD413" s="832"/>
      <c r="ADE413" s="832"/>
      <c r="ADF413" s="832"/>
      <c r="ADG413" s="832"/>
      <c r="ADH413" s="832"/>
      <c r="ADI413" s="832"/>
      <c r="ADJ413" s="832"/>
      <c r="ADK413" s="832"/>
      <c r="ADL413" s="832"/>
      <c r="ADM413" s="832"/>
      <c r="ADN413" s="832"/>
      <c r="ADO413" s="832"/>
      <c r="ADP413" s="832"/>
      <c r="ADQ413" s="832"/>
      <c r="ADR413" s="832"/>
      <c r="ADS413" s="832"/>
      <c r="ADT413" s="832"/>
      <c r="ADU413" s="832"/>
      <c r="ADV413" s="832"/>
      <c r="ADW413" s="832"/>
      <c r="ADX413" s="832"/>
      <c r="ADY413" s="832"/>
      <c r="ADZ413" s="832"/>
      <c r="AEA413" s="832"/>
      <c r="AEB413" s="832"/>
      <c r="AEC413" s="832"/>
      <c r="AED413" s="832"/>
      <c r="AEE413" s="832"/>
      <c r="AEF413" s="832"/>
      <c r="AEG413" s="832"/>
      <c r="AEH413" s="832"/>
      <c r="AEI413" s="832"/>
      <c r="AEJ413" s="832"/>
      <c r="AEK413" s="832"/>
      <c r="AEL413" s="832"/>
      <c r="AEM413" s="832"/>
      <c r="AEN413" s="832"/>
      <c r="AEO413" s="832"/>
      <c r="AEP413" s="832"/>
      <c r="AEQ413" s="832"/>
      <c r="AER413" s="832"/>
      <c r="AES413" s="832"/>
      <c r="AET413" s="832"/>
      <c r="AEU413" s="832"/>
      <c r="AEV413" s="832"/>
      <c r="AEW413" s="832"/>
      <c r="AEX413" s="832"/>
      <c r="AEY413" s="832"/>
      <c r="AEZ413" s="832"/>
      <c r="AFA413" s="832"/>
      <c r="AFB413" s="832"/>
      <c r="AFC413" s="832"/>
      <c r="AFD413" s="832"/>
      <c r="AFE413" s="832"/>
      <c r="AFF413" s="832"/>
      <c r="AFG413" s="832"/>
      <c r="AFH413" s="832"/>
      <c r="AFI413" s="832"/>
      <c r="AFJ413" s="832"/>
      <c r="AFK413" s="832"/>
      <c r="AFL413" s="832"/>
      <c r="AFM413" s="832"/>
      <c r="AFN413" s="832"/>
      <c r="AFO413" s="832"/>
      <c r="AFP413" s="832"/>
      <c r="AFQ413" s="832"/>
      <c r="AFR413" s="832"/>
      <c r="AFS413" s="832"/>
      <c r="AFT413" s="832"/>
      <c r="AFU413" s="832"/>
      <c r="AFV413" s="832"/>
      <c r="AFW413" s="832"/>
      <c r="AFX413" s="832"/>
      <c r="AFY413" s="832"/>
      <c r="AFZ413" s="832"/>
      <c r="AGA413" s="832"/>
      <c r="AGB413" s="832"/>
      <c r="AGC413" s="832"/>
      <c r="AGD413" s="832"/>
      <c r="AGE413" s="832"/>
      <c r="AGF413" s="832"/>
      <c r="AGG413" s="832"/>
      <c r="AGH413" s="832"/>
      <c r="AGI413" s="832"/>
      <c r="AGJ413" s="832"/>
      <c r="AGK413" s="832"/>
      <c r="AGL413" s="832"/>
      <c r="AGM413" s="832"/>
      <c r="AGN413" s="832"/>
      <c r="AGO413" s="832"/>
      <c r="AGP413" s="832"/>
      <c r="AGQ413" s="832"/>
      <c r="AGR413" s="832"/>
      <c r="AGS413" s="832"/>
      <c r="AGT413" s="832"/>
      <c r="AGU413" s="832"/>
      <c r="AGV413" s="832"/>
      <c r="AGW413" s="832"/>
      <c r="AGX413" s="832"/>
      <c r="AGY413" s="832"/>
      <c r="AGZ413" s="832"/>
      <c r="AHA413" s="832"/>
      <c r="AHB413" s="832"/>
      <c r="AHC413" s="832"/>
      <c r="AHD413" s="832"/>
      <c r="AHE413" s="832"/>
      <c r="AHF413" s="832"/>
      <c r="AHG413" s="832"/>
      <c r="AHH413" s="832"/>
      <c r="AHI413" s="832"/>
      <c r="AHJ413" s="832"/>
      <c r="AHK413" s="832"/>
      <c r="AHL413" s="832"/>
      <c r="AHM413" s="832"/>
      <c r="AHN413" s="832"/>
      <c r="AHO413" s="832"/>
      <c r="AHP413" s="832"/>
      <c r="AHQ413" s="832"/>
      <c r="AHR413" s="832"/>
      <c r="AHS413" s="832"/>
      <c r="AHT413" s="832"/>
      <c r="AHU413" s="832"/>
      <c r="AHV413" s="832"/>
      <c r="AHW413" s="832"/>
      <c r="AHX413" s="832"/>
      <c r="AHY413" s="832"/>
      <c r="AHZ413" s="832"/>
      <c r="AIA413" s="832"/>
      <c r="AIB413" s="832"/>
      <c r="AIC413" s="832"/>
      <c r="AID413" s="832"/>
      <c r="AIE413" s="832"/>
      <c r="AIF413" s="832"/>
      <c r="AIG413" s="832"/>
      <c r="AIH413" s="832"/>
      <c r="AII413" s="832"/>
      <c r="AIJ413" s="832"/>
      <c r="AIK413" s="832"/>
      <c r="AIL413" s="832"/>
      <c r="AIM413" s="832"/>
      <c r="AIN413" s="832"/>
      <c r="AIO413" s="832"/>
      <c r="AIP413" s="832"/>
      <c r="AIQ413" s="832"/>
      <c r="AIR413" s="832"/>
      <c r="AIS413" s="832"/>
      <c r="AIT413" s="832"/>
      <c r="AIU413" s="832"/>
      <c r="AIV413" s="832"/>
      <c r="AIW413" s="832"/>
      <c r="AIX413" s="832"/>
      <c r="AIY413" s="832"/>
      <c r="AIZ413" s="832"/>
      <c r="AJA413" s="832"/>
      <c r="AJB413" s="832"/>
      <c r="AJC413" s="832"/>
      <c r="AJD413" s="832"/>
      <c r="AJE413" s="832"/>
      <c r="AJF413" s="832"/>
      <c r="AJG413" s="832"/>
      <c r="AJH413" s="832"/>
      <c r="AJI413" s="832"/>
      <c r="AJJ413" s="832"/>
      <c r="AJK413" s="832"/>
      <c r="AJL413" s="832"/>
      <c r="AJM413" s="832"/>
      <c r="AJN413" s="832"/>
      <c r="AJO413" s="832"/>
      <c r="AJP413" s="832"/>
      <c r="AJQ413" s="832"/>
      <c r="AJR413" s="832"/>
      <c r="AJS413" s="832"/>
      <c r="AJT413" s="832"/>
      <c r="AJU413" s="832"/>
      <c r="AJV413" s="832"/>
      <c r="AJW413" s="832"/>
      <c r="AJX413" s="832"/>
      <c r="AJY413" s="832"/>
      <c r="AJZ413" s="832"/>
      <c r="AKA413" s="832"/>
      <c r="AKB413" s="832"/>
      <c r="AKC413" s="832"/>
      <c r="AKD413" s="832"/>
      <c r="AKE413" s="832"/>
      <c r="AKF413" s="832"/>
      <c r="AKG413" s="832"/>
      <c r="AKH413" s="832"/>
      <c r="AKI413" s="832"/>
      <c r="AKJ413" s="832"/>
      <c r="AKK413" s="832"/>
      <c r="AKL413" s="832"/>
      <c r="AKM413" s="832"/>
      <c r="AKN413" s="832"/>
      <c r="AKO413" s="832"/>
      <c r="AKP413" s="832"/>
      <c r="AKQ413" s="832"/>
      <c r="AKR413" s="832"/>
      <c r="AKS413" s="832"/>
      <c r="AKT413" s="832"/>
      <c r="AKU413" s="832"/>
      <c r="AKV413" s="832"/>
      <c r="AKW413" s="832"/>
      <c r="AKX413" s="832"/>
      <c r="AKY413" s="832"/>
      <c r="AKZ413" s="832"/>
      <c r="ALA413" s="832"/>
      <c r="ALB413" s="832"/>
      <c r="ALC413" s="832"/>
      <c r="ALD413" s="832"/>
      <c r="ALE413" s="832"/>
      <c r="ALF413" s="832"/>
      <c r="ALG413" s="832"/>
      <c r="ALH413" s="832"/>
      <c r="ALI413" s="832"/>
      <c r="ALJ413" s="832"/>
      <c r="ALK413" s="832"/>
      <c r="ALL413" s="832"/>
      <c r="ALM413" s="832"/>
      <c r="ALN413" s="832"/>
      <c r="ALO413" s="832"/>
      <c r="ALP413" s="832"/>
      <c r="ALQ413" s="832"/>
      <c r="ALR413" s="832"/>
      <c r="ALS413" s="832"/>
      <c r="ALT413" s="832"/>
      <c r="ALU413" s="832"/>
      <c r="ALV413" s="832"/>
      <c r="ALW413" s="832"/>
      <c r="ALX413" s="832"/>
      <c r="ALY413" s="832"/>
      <c r="ALZ413" s="832"/>
      <c r="AMA413" s="832"/>
      <c r="AMB413" s="832"/>
      <c r="AMC413" s="832"/>
      <c r="AMD413" s="832"/>
      <c r="AME413" s="832"/>
      <c r="AMF413" s="832"/>
      <c r="AMG413" s="832"/>
      <c r="AMH413" s="832"/>
      <c r="AMI413" s="832"/>
      <c r="AMJ413" s="832"/>
      <c r="AMK413" s="832"/>
      <c r="AML413" s="832"/>
    </row>
    <row r="414" spans="1:1026" s="388" customFormat="1" ht="24.95" customHeight="1" outlineLevel="1">
      <c r="A414" s="885"/>
      <c r="B414" s="444" t="s">
        <v>1085</v>
      </c>
      <c r="C414" s="886" t="s">
        <v>1086</v>
      </c>
      <c r="D414" s="451" t="s">
        <v>1087</v>
      </c>
      <c r="E414" s="449" t="s">
        <v>60</v>
      </c>
      <c r="F414" s="987">
        <f>Plan1!D386</f>
        <v>30</v>
      </c>
      <c r="G414" s="925">
        <f t="shared" si="123"/>
        <v>246.79</v>
      </c>
      <c r="H414" s="889">
        <f t="shared" si="124"/>
        <v>7403.7</v>
      </c>
      <c r="I414" s="885"/>
      <c r="J414" s="915">
        <v>194.92</v>
      </c>
      <c r="K414" s="916">
        <f t="shared" si="109"/>
        <v>246.79</v>
      </c>
      <c r="L414" s="832"/>
      <c r="M414" s="832"/>
      <c r="N414" s="832"/>
      <c r="O414" s="832"/>
      <c r="P414" s="832"/>
      <c r="Q414" s="832"/>
      <c r="R414" s="832"/>
      <c r="S414" s="832"/>
      <c r="T414" s="832"/>
      <c r="U414" s="832"/>
      <c r="V414" s="832"/>
      <c r="W414" s="832"/>
      <c r="X414" s="832"/>
      <c r="Y414" s="832"/>
      <c r="Z414" s="832"/>
      <c r="AA414" s="832"/>
      <c r="AB414" s="832"/>
      <c r="AC414" s="832"/>
      <c r="AD414" s="832"/>
      <c r="AE414" s="832"/>
      <c r="AF414" s="832"/>
      <c r="AG414" s="832"/>
      <c r="AH414" s="832"/>
      <c r="AI414" s="832"/>
      <c r="AJ414" s="832"/>
      <c r="AK414" s="832"/>
      <c r="AL414" s="832"/>
      <c r="AM414" s="832"/>
      <c r="AN414" s="832"/>
      <c r="AO414" s="832"/>
      <c r="AP414" s="832"/>
      <c r="AQ414" s="832"/>
      <c r="AR414" s="832"/>
      <c r="AS414" s="832"/>
      <c r="AT414" s="832"/>
      <c r="AU414" s="832"/>
      <c r="AV414" s="832"/>
      <c r="AW414" s="832"/>
      <c r="AX414" s="832"/>
      <c r="AY414" s="832"/>
      <c r="AZ414" s="832"/>
      <c r="BA414" s="832"/>
      <c r="BB414" s="832"/>
      <c r="BC414" s="832"/>
      <c r="BD414" s="832"/>
      <c r="BE414" s="832"/>
      <c r="BF414" s="832"/>
      <c r="BG414" s="832"/>
      <c r="BH414" s="832"/>
      <c r="BI414" s="832"/>
      <c r="BJ414" s="832"/>
      <c r="BK414" s="832"/>
      <c r="BL414" s="832"/>
      <c r="BM414" s="832"/>
      <c r="BN414" s="832"/>
      <c r="BO414" s="832"/>
      <c r="BP414" s="832"/>
      <c r="BQ414" s="832"/>
      <c r="BR414" s="832"/>
      <c r="BS414" s="832"/>
      <c r="BT414" s="832"/>
      <c r="BU414" s="832"/>
      <c r="BV414" s="832"/>
      <c r="BW414" s="832"/>
      <c r="BX414" s="832"/>
      <c r="BY414" s="832"/>
      <c r="BZ414" s="832"/>
      <c r="CA414" s="832"/>
      <c r="CB414" s="832"/>
      <c r="CC414" s="832"/>
      <c r="CD414" s="832"/>
      <c r="CE414" s="832"/>
      <c r="CF414" s="832"/>
      <c r="CG414" s="832"/>
      <c r="CH414" s="832"/>
      <c r="CI414" s="832"/>
      <c r="CJ414" s="832"/>
      <c r="CK414" s="832"/>
      <c r="CL414" s="832"/>
      <c r="CM414" s="832"/>
      <c r="CN414" s="832"/>
      <c r="CO414" s="832"/>
      <c r="CP414" s="832"/>
      <c r="CQ414" s="832"/>
      <c r="CR414" s="832"/>
      <c r="CS414" s="832"/>
      <c r="CT414" s="832"/>
      <c r="CU414" s="832"/>
      <c r="CV414" s="832"/>
      <c r="CW414" s="832"/>
      <c r="CX414" s="832"/>
      <c r="CY414" s="832"/>
      <c r="CZ414" s="832"/>
      <c r="DA414" s="832"/>
      <c r="DB414" s="832"/>
      <c r="DC414" s="832"/>
      <c r="DD414" s="832"/>
      <c r="DE414" s="832"/>
      <c r="DF414" s="832"/>
      <c r="DG414" s="832"/>
      <c r="DH414" s="832"/>
      <c r="DI414" s="832"/>
      <c r="DJ414" s="832"/>
      <c r="DK414" s="832"/>
      <c r="DL414" s="832"/>
      <c r="DM414" s="832"/>
      <c r="DN414" s="832"/>
      <c r="DO414" s="832"/>
      <c r="DP414" s="832"/>
      <c r="DQ414" s="832"/>
      <c r="DR414" s="832"/>
      <c r="DS414" s="832"/>
      <c r="DT414" s="832"/>
      <c r="DU414" s="832"/>
      <c r="DV414" s="832"/>
      <c r="DW414" s="832"/>
      <c r="DX414" s="832"/>
      <c r="DY414" s="832"/>
      <c r="DZ414" s="832"/>
      <c r="EA414" s="832"/>
      <c r="EB414" s="832"/>
      <c r="EC414" s="832"/>
      <c r="ED414" s="832"/>
      <c r="EE414" s="832"/>
      <c r="EF414" s="832"/>
      <c r="EG414" s="832"/>
      <c r="EH414" s="832"/>
      <c r="EI414" s="832"/>
      <c r="EJ414" s="832"/>
      <c r="EK414" s="832"/>
      <c r="EL414" s="832"/>
      <c r="EM414" s="832"/>
      <c r="EN414" s="832"/>
      <c r="EO414" s="832"/>
      <c r="EP414" s="832"/>
      <c r="EQ414" s="832"/>
      <c r="ER414" s="832"/>
      <c r="ES414" s="832"/>
      <c r="ET414" s="832"/>
      <c r="EU414" s="832"/>
      <c r="EV414" s="832"/>
      <c r="EW414" s="832"/>
      <c r="EX414" s="832"/>
      <c r="EY414" s="832"/>
      <c r="EZ414" s="832"/>
      <c r="FA414" s="832"/>
      <c r="FB414" s="832"/>
      <c r="FC414" s="832"/>
      <c r="FD414" s="832"/>
      <c r="FE414" s="832"/>
      <c r="FF414" s="832"/>
      <c r="FG414" s="832"/>
      <c r="FH414" s="832"/>
      <c r="FI414" s="832"/>
      <c r="FJ414" s="832"/>
      <c r="FK414" s="832"/>
      <c r="FL414" s="832"/>
      <c r="FM414" s="832"/>
      <c r="FN414" s="832"/>
      <c r="FO414" s="832"/>
      <c r="FP414" s="832"/>
      <c r="FQ414" s="832"/>
      <c r="FR414" s="832"/>
      <c r="FS414" s="832"/>
      <c r="FT414" s="832"/>
      <c r="FU414" s="832"/>
      <c r="FV414" s="832"/>
      <c r="FW414" s="832"/>
      <c r="FX414" s="832"/>
      <c r="FY414" s="832"/>
      <c r="FZ414" s="832"/>
      <c r="GA414" s="832"/>
      <c r="GB414" s="832"/>
      <c r="GC414" s="832"/>
      <c r="GD414" s="832"/>
      <c r="GE414" s="832"/>
      <c r="GF414" s="832"/>
      <c r="GG414" s="832"/>
      <c r="GH414" s="832"/>
      <c r="GI414" s="832"/>
      <c r="GJ414" s="832"/>
      <c r="GK414" s="832"/>
      <c r="GL414" s="832"/>
      <c r="GM414" s="832"/>
      <c r="GN414" s="832"/>
      <c r="GO414" s="832"/>
      <c r="GP414" s="832"/>
      <c r="GQ414" s="832"/>
      <c r="GR414" s="832"/>
      <c r="GS414" s="832"/>
      <c r="GT414" s="832"/>
      <c r="GU414" s="832"/>
      <c r="GV414" s="832"/>
      <c r="GW414" s="832"/>
      <c r="GX414" s="832"/>
      <c r="GY414" s="832"/>
      <c r="GZ414" s="832"/>
      <c r="HA414" s="832"/>
      <c r="HB414" s="832"/>
      <c r="HC414" s="832"/>
      <c r="HD414" s="832"/>
      <c r="HE414" s="832"/>
      <c r="HF414" s="832"/>
      <c r="HG414" s="832"/>
      <c r="HH414" s="832"/>
      <c r="HI414" s="832"/>
      <c r="HJ414" s="832"/>
      <c r="HK414" s="832"/>
      <c r="HL414" s="832"/>
      <c r="HM414" s="832"/>
      <c r="HN414" s="832"/>
      <c r="HO414" s="832"/>
      <c r="HP414" s="832"/>
      <c r="HQ414" s="832"/>
      <c r="HR414" s="832"/>
      <c r="HS414" s="832"/>
      <c r="HT414" s="832"/>
      <c r="HU414" s="832"/>
      <c r="HV414" s="832"/>
      <c r="HW414" s="832"/>
      <c r="HX414" s="832"/>
      <c r="HY414" s="832"/>
      <c r="HZ414" s="832"/>
      <c r="IA414" s="832"/>
      <c r="IB414" s="832"/>
      <c r="IC414" s="832"/>
      <c r="ID414" s="832"/>
      <c r="IE414" s="832"/>
      <c r="IF414" s="832"/>
      <c r="IG414" s="832"/>
      <c r="IH414" s="832"/>
      <c r="II414" s="832"/>
      <c r="IJ414" s="832"/>
      <c r="IK414" s="832"/>
      <c r="IL414" s="832"/>
      <c r="IM414" s="832"/>
      <c r="IN414" s="832"/>
      <c r="IO414" s="832"/>
      <c r="IP414" s="832"/>
      <c r="IQ414" s="832"/>
      <c r="IR414" s="832"/>
      <c r="IS414" s="832"/>
      <c r="IT414" s="832"/>
      <c r="IU414" s="832"/>
      <c r="IV414" s="832"/>
      <c r="IW414" s="832"/>
      <c r="IX414" s="832"/>
      <c r="IY414" s="832"/>
      <c r="IZ414" s="832"/>
      <c r="JA414" s="832"/>
      <c r="JB414" s="832"/>
      <c r="JC414" s="832"/>
      <c r="JD414" s="832"/>
      <c r="JE414" s="832"/>
      <c r="JF414" s="832"/>
      <c r="JG414" s="832"/>
      <c r="JH414" s="832"/>
      <c r="JI414" s="832"/>
      <c r="JJ414" s="832"/>
      <c r="JK414" s="832"/>
      <c r="JL414" s="832"/>
      <c r="JM414" s="832"/>
      <c r="JN414" s="832"/>
      <c r="JO414" s="832"/>
      <c r="JP414" s="832"/>
      <c r="JQ414" s="832"/>
      <c r="JR414" s="832"/>
      <c r="JS414" s="832"/>
      <c r="JT414" s="832"/>
      <c r="JU414" s="832"/>
      <c r="JV414" s="832"/>
      <c r="JW414" s="832"/>
      <c r="JX414" s="832"/>
      <c r="JY414" s="832"/>
      <c r="JZ414" s="832"/>
      <c r="KA414" s="832"/>
      <c r="KB414" s="832"/>
      <c r="KC414" s="832"/>
      <c r="KD414" s="832"/>
      <c r="KE414" s="832"/>
      <c r="KF414" s="832"/>
      <c r="KG414" s="832"/>
      <c r="KH414" s="832"/>
      <c r="KI414" s="832"/>
      <c r="KJ414" s="832"/>
      <c r="KK414" s="832"/>
      <c r="KL414" s="832"/>
      <c r="KM414" s="832"/>
      <c r="KN414" s="832"/>
      <c r="KO414" s="832"/>
      <c r="KP414" s="832"/>
      <c r="KQ414" s="832"/>
      <c r="KR414" s="832"/>
      <c r="KS414" s="832"/>
      <c r="KT414" s="832"/>
      <c r="KU414" s="832"/>
      <c r="KV414" s="832"/>
      <c r="KW414" s="832"/>
      <c r="KX414" s="832"/>
      <c r="KY414" s="832"/>
      <c r="KZ414" s="832"/>
      <c r="LA414" s="832"/>
      <c r="LB414" s="832"/>
      <c r="LC414" s="832"/>
      <c r="LD414" s="832"/>
      <c r="LE414" s="832"/>
      <c r="LF414" s="832"/>
      <c r="LG414" s="832"/>
      <c r="LH414" s="832"/>
      <c r="LI414" s="832"/>
      <c r="LJ414" s="832"/>
      <c r="LK414" s="832"/>
      <c r="LL414" s="832"/>
      <c r="LM414" s="832"/>
      <c r="LN414" s="832"/>
      <c r="LO414" s="832"/>
      <c r="LP414" s="832"/>
      <c r="LQ414" s="832"/>
      <c r="LR414" s="832"/>
      <c r="LS414" s="832"/>
      <c r="LT414" s="832"/>
      <c r="LU414" s="832"/>
      <c r="LV414" s="832"/>
      <c r="LW414" s="832"/>
      <c r="LX414" s="832"/>
      <c r="LY414" s="832"/>
      <c r="LZ414" s="832"/>
      <c r="MA414" s="832"/>
      <c r="MB414" s="832"/>
      <c r="MC414" s="832"/>
      <c r="MD414" s="832"/>
      <c r="ME414" s="832"/>
      <c r="MF414" s="832"/>
      <c r="MG414" s="832"/>
      <c r="MH414" s="832"/>
      <c r="MI414" s="832"/>
      <c r="MJ414" s="832"/>
      <c r="MK414" s="832"/>
      <c r="ML414" s="832"/>
      <c r="MM414" s="832"/>
      <c r="MN414" s="832"/>
      <c r="MO414" s="832"/>
      <c r="MP414" s="832"/>
      <c r="MQ414" s="832"/>
      <c r="MR414" s="832"/>
      <c r="MS414" s="832"/>
      <c r="MT414" s="832"/>
      <c r="MU414" s="832"/>
      <c r="MV414" s="832"/>
      <c r="MW414" s="832"/>
      <c r="MX414" s="832"/>
      <c r="MY414" s="832"/>
      <c r="MZ414" s="832"/>
      <c r="NA414" s="832"/>
      <c r="NB414" s="832"/>
      <c r="NC414" s="832"/>
      <c r="ND414" s="832"/>
      <c r="NE414" s="832"/>
      <c r="NF414" s="832"/>
      <c r="NG414" s="832"/>
      <c r="NH414" s="832"/>
      <c r="NI414" s="832"/>
      <c r="NJ414" s="832"/>
      <c r="NK414" s="832"/>
      <c r="NL414" s="832"/>
      <c r="NM414" s="832"/>
      <c r="NN414" s="832"/>
      <c r="NO414" s="832"/>
      <c r="NP414" s="832"/>
      <c r="NQ414" s="832"/>
      <c r="NR414" s="832"/>
      <c r="NS414" s="832"/>
      <c r="NT414" s="832"/>
      <c r="NU414" s="832"/>
      <c r="NV414" s="832"/>
      <c r="NW414" s="832"/>
      <c r="NX414" s="832"/>
      <c r="NY414" s="832"/>
      <c r="NZ414" s="832"/>
      <c r="OA414" s="832"/>
      <c r="OB414" s="832"/>
      <c r="OC414" s="832"/>
      <c r="OD414" s="832"/>
      <c r="OE414" s="832"/>
      <c r="OF414" s="832"/>
      <c r="OG414" s="832"/>
      <c r="OH414" s="832"/>
      <c r="OI414" s="832"/>
      <c r="OJ414" s="832"/>
      <c r="OK414" s="832"/>
      <c r="OL414" s="832"/>
      <c r="OM414" s="832"/>
      <c r="ON414" s="832"/>
      <c r="OO414" s="832"/>
      <c r="OP414" s="832"/>
      <c r="OQ414" s="832"/>
      <c r="OR414" s="832"/>
      <c r="OS414" s="832"/>
      <c r="OT414" s="832"/>
      <c r="OU414" s="832"/>
      <c r="OV414" s="832"/>
      <c r="OW414" s="832"/>
      <c r="OX414" s="832"/>
      <c r="OY414" s="832"/>
      <c r="OZ414" s="832"/>
      <c r="PA414" s="832"/>
      <c r="PB414" s="832"/>
      <c r="PC414" s="832"/>
      <c r="PD414" s="832"/>
      <c r="PE414" s="832"/>
      <c r="PF414" s="832"/>
      <c r="PG414" s="832"/>
      <c r="PH414" s="832"/>
      <c r="PI414" s="832"/>
      <c r="PJ414" s="832"/>
      <c r="PK414" s="832"/>
      <c r="PL414" s="832"/>
      <c r="PM414" s="832"/>
      <c r="PN414" s="832"/>
      <c r="PO414" s="832"/>
      <c r="PP414" s="832"/>
      <c r="PQ414" s="832"/>
      <c r="PR414" s="832"/>
      <c r="PS414" s="832"/>
      <c r="PT414" s="832"/>
      <c r="PU414" s="832"/>
      <c r="PV414" s="832"/>
      <c r="PW414" s="832"/>
      <c r="PX414" s="832"/>
      <c r="PY414" s="832"/>
      <c r="PZ414" s="832"/>
      <c r="QA414" s="832"/>
      <c r="QB414" s="832"/>
      <c r="QC414" s="832"/>
      <c r="QD414" s="832"/>
      <c r="QE414" s="832"/>
      <c r="QF414" s="832"/>
      <c r="QG414" s="832"/>
      <c r="QH414" s="832"/>
      <c r="QI414" s="832"/>
      <c r="QJ414" s="832"/>
      <c r="QK414" s="832"/>
      <c r="QL414" s="832"/>
      <c r="QM414" s="832"/>
      <c r="QN414" s="832"/>
      <c r="QO414" s="832"/>
      <c r="QP414" s="832"/>
      <c r="QQ414" s="832"/>
      <c r="QR414" s="832"/>
      <c r="QS414" s="832"/>
      <c r="QT414" s="832"/>
      <c r="QU414" s="832"/>
      <c r="QV414" s="832"/>
      <c r="QW414" s="832"/>
      <c r="QX414" s="832"/>
      <c r="QY414" s="832"/>
      <c r="QZ414" s="832"/>
      <c r="RA414" s="832"/>
      <c r="RB414" s="832"/>
      <c r="RC414" s="832"/>
      <c r="RD414" s="832"/>
      <c r="RE414" s="832"/>
      <c r="RF414" s="832"/>
      <c r="RG414" s="832"/>
      <c r="RH414" s="832"/>
      <c r="RI414" s="832"/>
      <c r="RJ414" s="832"/>
      <c r="RK414" s="832"/>
      <c r="RL414" s="832"/>
      <c r="RM414" s="832"/>
      <c r="RN414" s="832"/>
      <c r="RO414" s="832"/>
      <c r="RP414" s="832"/>
      <c r="RQ414" s="832"/>
      <c r="RR414" s="832"/>
      <c r="RS414" s="832"/>
      <c r="RT414" s="832"/>
      <c r="RU414" s="832"/>
      <c r="RV414" s="832"/>
      <c r="RW414" s="832"/>
      <c r="RX414" s="832"/>
      <c r="RY414" s="832"/>
      <c r="RZ414" s="832"/>
      <c r="SA414" s="832"/>
      <c r="SB414" s="832"/>
      <c r="SC414" s="832"/>
      <c r="SD414" s="832"/>
      <c r="SE414" s="832"/>
      <c r="SF414" s="832"/>
      <c r="SG414" s="832"/>
      <c r="SH414" s="832"/>
      <c r="SI414" s="832"/>
      <c r="SJ414" s="832"/>
      <c r="SK414" s="832"/>
      <c r="SL414" s="832"/>
      <c r="SM414" s="832"/>
      <c r="SN414" s="832"/>
      <c r="SO414" s="832"/>
      <c r="SP414" s="832"/>
      <c r="SQ414" s="832"/>
      <c r="SR414" s="832"/>
      <c r="SS414" s="832"/>
      <c r="ST414" s="832"/>
      <c r="SU414" s="832"/>
      <c r="SV414" s="832"/>
      <c r="SW414" s="832"/>
      <c r="SX414" s="832"/>
      <c r="SY414" s="832"/>
      <c r="SZ414" s="832"/>
      <c r="TA414" s="832"/>
      <c r="TB414" s="832"/>
      <c r="TC414" s="832"/>
      <c r="TD414" s="832"/>
      <c r="TE414" s="832"/>
      <c r="TF414" s="832"/>
      <c r="TG414" s="832"/>
      <c r="TH414" s="832"/>
      <c r="TI414" s="832"/>
      <c r="TJ414" s="832"/>
      <c r="TK414" s="832"/>
      <c r="TL414" s="832"/>
      <c r="TM414" s="832"/>
      <c r="TN414" s="832"/>
      <c r="TO414" s="832"/>
      <c r="TP414" s="832"/>
      <c r="TQ414" s="832"/>
      <c r="TR414" s="832"/>
      <c r="TS414" s="832"/>
      <c r="TT414" s="832"/>
      <c r="TU414" s="832"/>
      <c r="TV414" s="832"/>
      <c r="TW414" s="832"/>
      <c r="TX414" s="832"/>
      <c r="TY414" s="832"/>
      <c r="TZ414" s="832"/>
      <c r="UA414" s="832"/>
      <c r="UB414" s="832"/>
      <c r="UC414" s="832"/>
      <c r="UD414" s="832"/>
      <c r="UE414" s="832"/>
      <c r="UF414" s="832"/>
      <c r="UG414" s="832"/>
      <c r="UH414" s="832"/>
      <c r="UI414" s="832"/>
      <c r="UJ414" s="832"/>
      <c r="UK414" s="832"/>
      <c r="UL414" s="832"/>
      <c r="UM414" s="832"/>
      <c r="UN414" s="832"/>
      <c r="UO414" s="832"/>
      <c r="UP414" s="832"/>
      <c r="UQ414" s="832"/>
      <c r="UR414" s="832"/>
      <c r="US414" s="832"/>
      <c r="UT414" s="832"/>
      <c r="UU414" s="832"/>
      <c r="UV414" s="832"/>
      <c r="UW414" s="832"/>
      <c r="UX414" s="832"/>
      <c r="UY414" s="832"/>
      <c r="UZ414" s="832"/>
      <c r="VA414" s="832"/>
      <c r="VB414" s="832"/>
      <c r="VC414" s="832"/>
      <c r="VD414" s="832"/>
      <c r="VE414" s="832"/>
      <c r="VF414" s="832"/>
      <c r="VG414" s="832"/>
      <c r="VH414" s="832"/>
      <c r="VI414" s="832"/>
      <c r="VJ414" s="832"/>
      <c r="VK414" s="832"/>
      <c r="VL414" s="832"/>
      <c r="VM414" s="832"/>
      <c r="VN414" s="832"/>
      <c r="VO414" s="832"/>
      <c r="VP414" s="832"/>
      <c r="VQ414" s="832"/>
      <c r="VR414" s="832"/>
      <c r="VS414" s="832"/>
      <c r="VT414" s="832"/>
      <c r="VU414" s="832"/>
      <c r="VV414" s="832"/>
      <c r="VW414" s="832"/>
      <c r="VX414" s="832"/>
      <c r="VY414" s="832"/>
      <c r="VZ414" s="832"/>
      <c r="WA414" s="832"/>
      <c r="WB414" s="832"/>
      <c r="WC414" s="832"/>
      <c r="WD414" s="832"/>
      <c r="WE414" s="832"/>
      <c r="WF414" s="832"/>
      <c r="WG414" s="832"/>
      <c r="WH414" s="832"/>
      <c r="WI414" s="832"/>
      <c r="WJ414" s="832"/>
      <c r="WK414" s="832"/>
      <c r="WL414" s="832"/>
      <c r="WM414" s="832"/>
      <c r="WN414" s="832"/>
      <c r="WO414" s="832"/>
      <c r="WP414" s="832"/>
      <c r="WQ414" s="832"/>
      <c r="WR414" s="832"/>
      <c r="WS414" s="832"/>
      <c r="WT414" s="832"/>
      <c r="WU414" s="832"/>
      <c r="WV414" s="832"/>
      <c r="WW414" s="832"/>
      <c r="WX414" s="832"/>
      <c r="WY414" s="832"/>
      <c r="WZ414" s="832"/>
      <c r="XA414" s="832"/>
      <c r="XB414" s="832"/>
      <c r="XC414" s="832"/>
      <c r="XD414" s="832"/>
      <c r="XE414" s="832"/>
      <c r="XF414" s="832"/>
      <c r="XG414" s="832"/>
      <c r="XH414" s="832"/>
      <c r="XI414" s="832"/>
      <c r="XJ414" s="832"/>
      <c r="XK414" s="832"/>
      <c r="XL414" s="832"/>
      <c r="XM414" s="832"/>
      <c r="XN414" s="832"/>
      <c r="XO414" s="832"/>
      <c r="XP414" s="832"/>
      <c r="XQ414" s="832"/>
      <c r="XR414" s="832"/>
      <c r="XS414" s="832"/>
      <c r="XT414" s="832"/>
      <c r="XU414" s="832"/>
      <c r="XV414" s="832"/>
      <c r="XW414" s="832"/>
      <c r="XX414" s="832"/>
      <c r="XY414" s="832"/>
      <c r="XZ414" s="832"/>
      <c r="YA414" s="832"/>
      <c r="YB414" s="832"/>
      <c r="YC414" s="832"/>
      <c r="YD414" s="832"/>
      <c r="YE414" s="832"/>
      <c r="YF414" s="832"/>
      <c r="YG414" s="832"/>
      <c r="YH414" s="832"/>
      <c r="YI414" s="832"/>
      <c r="YJ414" s="832"/>
      <c r="YK414" s="832"/>
      <c r="YL414" s="832"/>
      <c r="YM414" s="832"/>
      <c r="YN414" s="832"/>
      <c r="YO414" s="832"/>
      <c r="YP414" s="832"/>
      <c r="YQ414" s="832"/>
      <c r="YR414" s="832"/>
      <c r="YS414" s="832"/>
      <c r="YT414" s="832"/>
      <c r="YU414" s="832"/>
      <c r="YV414" s="832"/>
      <c r="YW414" s="832"/>
      <c r="YX414" s="832"/>
      <c r="YY414" s="832"/>
      <c r="YZ414" s="832"/>
      <c r="ZA414" s="832"/>
      <c r="ZB414" s="832"/>
      <c r="ZC414" s="832"/>
      <c r="ZD414" s="832"/>
      <c r="ZE414" s="832"/>
      <c r="ZF414" s="832"/>
      <c r="ZG414" s="832"/>
      <c r="ZH414" s="832"/>
      <c r="ZI414" s="832"/>
      <c r="ZJ414" s="832"/>
      <c r="ZK414" s="832"/>
      <c r="ZL414" s="832"/>
      <c r="ZM414" s="832"/>
      <c r="ZN414" s="832"/>
      <c r="ZO414" s="832"/>
      <c r="ZP414" s="832"/>
      <c r="ZQ414" s="832"/>
      <c r="ZR414" s="832"/>
      <c r="ZS414" s="832"/>
      <c r="ZT414" s="832"/>
      <c r="ZU414" s="832"/>
      <c r="ZV414" s="832"/>
      <c r="ZW414" s="832"/>
      <c r="ZX414" s="832"/>
      <c r="ZY414" s="832"/>
      <c r="ZZ414" s="832"/>
      <c r="AAA414" s="832"/>
      <c r="AAB414" s="832"/>
      <c r="AAC414" s="832"/>
      <c r="AAD414" s="832"/>
      <c r="AAE414" s="832"/>
      <c r="AAF414" s="832"/>
      <c r="AAG414" s="832"/>
      <c r="AAH414" s="832"/>
      <c r="AAI414" s="832"/>
      <c r="AAJ414" s="832"/>
      <c r="AAK414" s="832"/>
      <c r="AAL414" s="832"/>
      <c r="AAM414" s="832"/>
      <c r="AAN414" s="832"/>
      <c r="AAO414" s="832"/>
      <c r="AAP414" s="832"/>
      <c r="AAQ414" s="832"/>
      <c r="AAR414" s="832"/>
      <c r="AAS414" s="832"/>
      <c r="AAT414" s="832"/>
      <c r="AAU414" s="832"/>
      <c r="AAV414" s="832"/>
      <c r="AAW414" s="832"/>
      <c r="AAX414" s="832"/>
      <c r="AAY414" s="832"/>
      <c r="AAZ414" s="832"/>
      <c r="ABA414" s="832"/>
      <c r="ABB414" s="832"/>
      <c r="ABC414" s="832"/>
      <c r="ABD414" s="832"/>
      <c r="ABE414" s="832"/>
      <c r="ABF414" s="832"/>
      <c r="ABG414" s="832"/>
      <c r="ABH414" s="832"/>
      <c r="ABI414" s="832"/>
      <c r="ABJ414" s="832"/>
      <c r="ABK414" s="832"/>
      <c r="ABL414" s="832"/>
      <c r="ABM414" s="832"/>
      <c r="ABN414" s="832"/>
      <c r="ABO414" s="832"/>
      <c r="ABP414" s="832"/>
      <c r="ABQ414" s="832"/>
      <c r="ABR414" s="832"/>
      <c r="ABS414" s="832"/>
      <c r="ABT414" s="832"/>
      <c r="ABU414" s="832"/>
      <c r="ABV414" s="832"/>
      <c r="ABW414" s="832"/>
      <c r="ABX414" s="832"/>
      <c r="ABY414" s="832"/>
      <c r="ABZ414" s="832"/>
      <c r="ACA414" s="832"/>
      <c r="ACB414" s="832"/>
      <c r="ACC414" s="832"/>
      <c r="ACD414" s="832"/>
      <c r="ACE414" s="832"/>
      <c r="ACF414" s="832"/>
      <c r="ACG414" s="832"/>
      <c r="ACH414" s="832"/>
      <c r="ACI414" s="832"/>
      <c r="ACJ414" s="832"/>
      <c r="ACK414" s="832"/>
      <c r="ACL414" s="832"/>
      <c r="ACM414" s="832"/>
      <c r="ACN414" s="832"/>
      <c r="ACO414" s="832"/>
      <c r="ACP414" s="832"/>
      <c r="ACQ414" s="832"/>
      <c r="ACR414" s="832"/>
      <c r="ACS414" s="832"/>
      <c r="ACT414" s="832"/>
      <c r="ACU414" s="832"/>
      <c r="ACV414" s="832"/>
      <c r="ACW414" s="832"/>
      <c r="ACX414" s="832"/>
      <c r="ACY414" s="832"/>
      <c r="ACZ414" s="832"/>
      <c r="ADA414" s="832"/>
      <c r="ADB414" s="832"/>
      <c r="ADC414" s="832"/>
      <c r="ADD414" s="832"/>
      <c r="ADE414" s="832"/>
      <c r="ADF414" s="832"/>
      <c r="ADG414" s="832"/>
      <c r="ADH414" s="832"/>
      <c r="ADI414" s="832"/>
      <c r="ADJ414" s="832"/>
      <c r="ADK414" s="832"/>
      <c r="ADL414" s="832"/>
      <c r="ADM414" s="832"/>
      <c r="ADN414" s="832"/>
      <c r="ADO414" s="832"/>
      <c r="ADP414" s="832"/>
      <c r="ADQ414" s="832"/>
      <c r="ADR414" s="832"/>
      <c r="ADS414" s="832"/>
      <c r="ADT414" s="832"/>
      <c r="ADU414" s="832"/>
      <c r="ADV414" s="832"/>
      <c r="ADW414" s="832"/>
      <c r="ADX414" s="832"/>
      <c r="ADY414" s="832"/>
      <c r="ADZ414" s="832"/>
      <c r="AEA414" s="832"/>
      <c r="AEB414" s="832"/>
      <c r="AEC414" s="832"/>
      <c r="AED414" s="832"/>
      <c r="AEE414" s="832"/>
      <c r="AEF414" s="832"/>
      <c r="AEG414" s="832"/>
      <c r="AEH414" s="832"/>
      <c r="AEI414" s="832"/>
      <c r="AEJ414" s="832"/>
      <c r="AEK414" s="832"/>
      <c r="AEL414" s="832"/>
      <c r="AEM414" s="832"/>
      <c r="AEN414" s="832"/>
      <c r="AEO414" s="832"/>
      <c r="AEP414" s="832"/>
      <c r="AEQ414" s="832"/>
      <c r="AER414" s="832"/>
      <c r="AES414" s="832"/>
      <c r="AET414" s="832"/>
      <c r="AEU414" s="832"/>
      <c r="AEV414" s="832"/>
      <c r="AEW414" s="832"/>
      <c r="AEX414" s="832"/>
      <c r="AEY414" s="832"/>
      <c r="AEZ414" s="832"/>
      <c r="AFA414" s="832"/>
      <c r="AFB414" s="832"/>
      <c r="AFC414" s="832"/>
      <c r="AFD414" s="832"/>
      <c r="AFE414" s="832"/>
      <c r="AFF414" s="832"/>
      <c r="AFG414" s="832"/>
      <c r="AFH414" s="832"/>
      <c r="AFI414" s="832"/>
      <c r="AFJ414" s="832"/>
      <c r="AFK414" s="832"/>
      <c r="AFL414" s="832"/>
      <c r="AFM414" s="832"/>
      <c r="AFN414" s="832"/>
      <c r="AFO414" s="832"/>
      <c r="AFP414" s="832"/>
      <c r="AFQ414" s="832"/>
      <c r="AFR414" s="832"/>
      <c r="AFS414" s="832"/>
      <c r="AFT414" s="832"/>
      <c r="AFU414" s="832"/>
      <c r="AFV414" s="832"/>
      <c r="AFW414" s="832"/>
      <c r="AFX414" s="832"/>
      <c r="AFY414" s="832"/>
      <c r="AFZ414" s="832"/>
      <c r="AGA414" s="832"/>
      <c r="AGB414" s="832"/>
      <c r="AGC414" s="832"/>
      <c r="AGD414" s="832"/>
      <c r="AGE414" s="832"/>
      <c r="AGF414" s="832"/>
      <c r="AGG414" s="832"/>
      <c r="AGH414" s="832"/>
      <c r="AGI414" s="832"/>
      <c r="AGJ414" s="832"/>
      <c r="AGK414" s="832"/>
      <c r="AGL414" s="832"/>
      <c r="AGM414" s="832"/>
      <c r="AGN414" s="832"/>
      <c r="AGO414" s="832"/>
      <c r="AGP414" s="832"/>
      <c r="AGQ414" s="832"/>
      <c r="AGR414" s="832"/>
      <c r="AGS414" s="832"/>
      <c r="AGT414" s="832"/>
      <c r="AGU414" s="832"/>
      <c r="AGV414" s="832"/>
      <c r="AGW414" s="832"/>
      <c r="AGX414" s="832"/>
      <c r="AGY414" s="832"/>
      <c r="AGZ414" s="832"/>
      <c r="AHA414" s="832"/>
      <c r="AHB414" s="832"/>
      <c r="AHC414" s="832"/>
      <c r="AHD414" s="832"/>
      <c r="AHE414" s="832"/>
      <c r="AHF414" s="832"/>
      <c r="AHG414" s="832"/>
      <c r="AHH414" s="832"/>
      <c r="AHI414" s="832"/>
      <c r="AHJ414" s="832"/>
      <c r="AHK414" s="832"/>
      <c r="AHL414" s="832"/>
      <c r="AHM414" s="832"/>
      <c r="AHN414" s="832"/>
      <c r="AHO414" s="832"/>
      <c r="AHP414" s="832"/>
      <c r="AHQ414" s="832"/>
      <c r="AHR414" s="832"/>
      <c r="AHS414" s="832"/>
      <c r="AHT414" s="832"/>
      <c r="AHU414" s="832"/>
      <c r="AHV414" s="832"/>
      <c r="AHW414" s="832"/>
      <c r="AHX414" s="832"/>
      <c r="AHY414" s="832"/>
      <c r="AHZ414" s="832"/>
      <c r="AIA414" s="832"/>
      <c r="AIB414" s="832"/>
      <c r="AIC414" s="832"/>
      <c r="AID414" s="832"/>
      <c r="AIE414" s="832"/>
      <c r="AIF414" s="832"/>
      <c r="AIG414" s="832"/>
      <c r="AIH414" s="832"/>
      <c r="AII414" s="832"/>
      <c r="AIJ414" s="832"/>
      <c r="AIK414" s="832"/>
      <c r="AIL414" s="832"/>
      <c r="AIM414" s="832"/>
      <c r="AIN414" s="832"/>
      <c r="AIO414" s="832"/>
      <c r="AIP414" s="832"/>
      <c r="AIQ414" s="832"/>
      <c r="AIR414" s="832"/>
      <c r="AIS414" s="832"/>
      <c r="AIT414" s="832"/>
      <c r="AIU414" s="832"/>
      <c r="AIV414" s="832"/>
      <c r="AIW414" s="832"/>
      <c r="AIX414" s="832"/>
      <c r="AIY414" s="832"/>
      <c r="AIZ414" s="832"/>
      <c r="AJA414" s="832"/>
      <c r="AJB414" s="832"/>
      <c r="AJC414" s="832"/>
      <c r="AJD414" s="832"/>
      <c r="AJE414" s="832"/>
      <c r="AJF414" s="832"/>
      <c r="AJG414" s="832"/>
      <c r="AJH414" s="832"/>
      <c r="AJI414" s="832"/>
      <c r="AJJ414" s="832"/>
      <c r="AJK414" s="832"/>
      <c r="AJL414" s="832"/>
      <c r="AJM414" s="832"/>
      <c r="AJN414" s="832"/>
      <c r="AJO414" s="832"/>
      <c r="AJP414" s="832"/>
      <c r="AJQ414" s="832"/>
      <c r="AJR414" s="832"/>
      <c r="AJS414" s="832"/>
      <c r="AJT414" s="832"/>
      <c r="AJU414" s="832"/>
      <c r="AJV414" s="832"/>
      <c r="AJW414" s="832"/>
      <c r="AJX414" s="832"/>
      <c r="AJY414" s="832"/>
      <c r="AJZ414" s="832"/>
      <c r="AKA414" s="832"/>
      <c r="AKB414" s="832"/>
      <c r="AKC414" s="832"/>
      <c r="AKD414" s="832"/>
      <c r="AKE414" s="832"/>
      <c r="AKF414" s="832"/>
      <c r="AKG414" s="832"/>
      <c r="AKH414" s="832"/>
      <c r="AKI414" s="832"/>
      <c r="AKJ414" s="832"/>
      <c r="AKK414" s="832"/>
      <c r="AKL414" s="832"/>
      <c r="AKM414" s="832"/>
      <c r="AKN414" s="832"/>
      <c r="AKO414" s="832"/>
      <c r="AKP414" s="832"/>
      <c r="AKQ414" s="832"/>
      <c r="AKR414" s="832"/>
      <c r="AKS414" s="832"/>
      <c r="AKT414" s="832"/>
      <c r="AKU414" s="832"/>
      <c r="AKV414" s="832"/>
      <c r="AKW414" s="832"/>
      <c r="AKX414" s="832"/>
      <c r="AKY414" s="832"/>
      <c r="AKZ414" s="832"/>
      <c r="ALA414" s="832"/>
      <c r="ALB414" s="832"/>
      <c r="ALC414" s="832"/>
      <c r="ALD414" s="832"/>
      <c r="ALE414" s="832"/>
      <c r="ALF414" s="832"/>
      <c r="ALG414" s="832"/>
      <c r="ALH414" s="832"/>
      <c r="ALI414" s="832"/>
      <c r="ALJ414" s="832"/>
      <c r="ALK414" s="832"/>
      <c r="ALL414" s="832"/>
      <c r="ALM414" s="832"/>
      <c r="ALN414" s="832"/>
      <c r="ALO414" s="832"/>
      <c r="ALP414" s="832"/>
      <c r="ALQ414" s="832"/>
      <c r="ALR414" s="832"/>
      <c r="ALS414" s="832"/>
      <c r="ALT414" s="832"/>
      <c r="ALU414" s="832"/>
      <c r="ALV414" s="832"/>
      <c r="ALW414" s="832"/>
      <c r="ALX414" s="832"/>
      <c r="ALY414" s="832"/>
      <c r="ALZ414" s="832"/>
      <c r="AMA414" s="832"/>
      <c r="AMB414" s="832"/>
      <c r="AMC414" s="832"/>
      <c r="AMD414" s="832"/>
      <c r="AME414" s="832"/>
      <c r="AMF414" s="832"/>
      <c r="AMG414" s="832"/>
      <c r="AMH414" s="832"/>
      <c r="AMI414" s="832"/>
      <c r="AMJ414" s="832"/>
      <c r="AMK414" s="832"/>
      <c r="AML414" s="832"/>
    </row>
    <row r="415" spans="1:1026" s="835" customFormat="1" ht="38.25" customHeight="1" outlineLevel="1">
      <c r="A415" s="1023"/>
      <c r="B415" s="444" t="s">
        <v>1088</v>
      </c>
      <c r="C415" s="886" t="s">
        <v>1089</v>
      </c>
      <c r="D415" s="451" t="s">
        <v>1090</v>
      </c>
      <c r="E415" s="449" t="s">
        <v>38</v>
      </c>
      <c r="F415" s="992">
        <f>'GRADIL - A.VERDE - Á EXT.'!C38</f>
        <v>26</v>
      </c>
      <c r="G415" s="925">
        <f t="shared" si="123"/>
        <v>415.24</v>
      </c>
      <c r="H415" s="889">
        <f t="shared" si="124"/>
        <v>10796.24</v>
      </c>
      <c r="I415" s="1023"/>
      <c r="J415" s="915">
        <f>composições!F1151</f>
        <v>327.97</v>
      </c>
      <c r="K415" s="1032">
        <f t="shared" si="109"/>
        <v>415.24</v>
      </c>
      <c r="L415" s="1033"/>
      <c r="M415" s="1033"/>
      <c r="N415" s="1033"/>
      <c r="O415" s="1033"/>
      <c r="P415" s="1033"/>
      <c r="Q415" s="1033"/>
      <c r="R415" s="1033"/>
      <c r="S415" s="1033"/>
      <c r="T415" s="1033"/>
      <c r="U415" s="1033"/>
      <c r="V415" s="1033"/>
      <c r="W415" s="1033"/>
      <c r="X415" s="1033"/>
      <c r="Y415" s="1033"/>
      <c r="Z415" s="1033"/>
      <c r="AA415" s="1033"/>
      <c r="AB415" s="1033"/>
      <c r="AC415" s="1033"/>
      <c r="AD415" s="1033"/>
      <c r="AE415" s="1033"/>
      <c r="AF415" s="1033"/>
      <c r="AG415" s="1033"/>
      <c r="AH415" s="1033"/>
      <c r="AI415" s="1033"/>
      <c r="AJ415" s="1033"/>
      <c r="AK415" s="1033"/>
      <c r="AL415" s="1033"/>
      <c r="AM415" s="1033"/>
      <c r="AN415" s="1033"/>
      <c r="AO415" s="1033"/>
      <c r="AP415" s="1033"/>
      <c r="AQ415" s="1033"/>
      <c r="AR415" s="1033"/>
      <c r="AS415" s="1033"/>
      <c r="AT415" s="1033"/>
      <c r="AU415" s="1033"/>
      <c r="AV415" s="1033"/>
      <c r="AW415" s="1033"/>
      <c r="AX415" s="1033"/>
      <c r="AY415" s="1033"/>
      <c r="AZ415" s="1033"/>
      <c r="BA415" s="1033"/>
      <c r="BB415" s="1033"/>
      <c r="BC415" s="1033"/>
      <c r="BD415" s="1033"/>
      <c r="BE415" s="1033"/>
      <c r="BF415" s="1033"/>
      <c r="BG415" s="1033"/>
      <c r="BH415" s="1033"/>
      <c r="BI415" s="1033"/>
      <c r="BJ415" s="1033"/>
      <c r="BK415" s="1033"/>
      <c r="BL415" s="1033"/>
      <c r="BM415" s="1033"/>
      <c r="BN415" s="1033"/>
      <c r="BO415" s="1033"/>
      <c r="BP415" s="1033"/>
      <c r="BQ415" s="1033"/>
      <c r="BR415" s="1033"/>
      <c r="BS415" s="1033"/>
      <c r="BT415" s="1033"/>
      <c r="BU415" s="1033"/>
      <c r="BV415" s="1033"/>
      <c r="BW415" s="1033"/>
      <c r="BX415" s="1033"/>
      <c r="BY415" s="1033"/>
      <c r="BZ415" s="1033"/>
      <c r="CA415" s="1033"/>
      <c r="CB415" s="1033"/>
      <c r="CC415" s="1033"/>
      <c r="CD415" s="1033"/>
      <c r="CE415" s="1033"/>
      <c r="CF415" s="1033"/>
      <c r="CG415" s="1033"/>
      <c r="CH415" s="1033"/>
      <c r="CI415" s="1033"/>
      <c r="CJ415" s="1033"/>
      <c r="CK415" s="1033"/>
      <c r="CL415" s="1033"/>
      <c r="CM415" s="1033"/>
      <c r="CN415" s="1033"/>
      <c r="CO415" s="1033"/>
      <c r="CP415" s="1033"/>
      <c r="CQ415" s="1033"/>
      <c r="CR415" s="1033"/>
      <c r="CS415" s="1033"/>
      <c r="CT415" s="1033"/>
      <c r="CU415" s="1033"/>
      <c r="CV415" s="1033"/>
      <c r="CW415" s="1033"/>
      <c r="CX415" s="1033"/>
      <c r="CY415" s="1033"/>
      <c r="CZ415" s="1033"/>
      <c r="DA415" s="1033"/>
      <c r="DB415" s="1033"/>
      <c r="DC415" s="1033"/>
      <c r="DD415" s="1033"/>
      <c r="DE415" s="1033"/>
      <c r="DF415" s="1033"/>
      <c r="DG415" s="1033"/>
      <c r="DH415" s="1033"/>
      <c r="DI415" s="1033"/>
      <c r="DJ415" s="1033"/>
      <c r="DK415" s="1033"/>
      <c r="DL415" s="1033"/>
      <c r="DM415" s="1033"/>
      <c r="DN415" s="1033"/>
      <c r="DO415" s="1033"/>
      <c r="DP415" s="1033"/>
      <c r="DQ415" s="1033"/>
      <c r="DR415" s="1033"/>
      <c r="DS415" s="1033"/>
      <c r="DT415" s="1033"/>
      <c r="DU415" s="1033"/>
      <c r="DV415" s="1033"/>
      <c r="DW415" s="1033"/>
      <c r="DX415" s="1033"/>
      <c r="DY415" s="1033"/>
      <c r="DZ415" s="1033"/>
      <c r="EA415" s="1033"/>
      <c r="EB415" s="1033"/>
      <c r="EC415" s="1033"/>
      <c r="ED415" s="1033"/>
      <c r="EE415" s="1033"/>
      <c r="EF415" s="1033"/>
      <c r="EG415" s="1033"/>
      <c r="EH415" s="1033"/>
      <c r="EI415" s="1033"/>
      <c r="EJ415" s="1033"/>
      <c r="EK415" s="1033"/>
      <c r="EL415" s="1033"/>
      <c r="EM415" s="1033"/>
      <c r="EN415" s="1033"/>
      <c r="EO415" s="1033"/>
      <c r="EP415" s="1033"/>
      <c r="EQ415" s="1033"/>
      <c r="ER415" s="1033"/>
      <c r="ES415" s="1033"/>
      <c r="ET415" s="1033"/>
      <c r="EU415" s="1033"/>
      <c r="EV415" s="1033"/>
      <c r="EW415" s="1033"/>
      <c r="EX415" s="1033"/>
      <c r="EY415" s="1033"/>
      <c r="EZ415" s="1033"/>
      <c r="FA415" s="1033"/>
      <c r="FB415" s="1033"/>
      <c r="FC415" s="1033"/>
      <c r="FD415" s="1033"/>
      <c r="FE415" s="1033"/>
      <c r="FF415" s="1033"/>
      <c r="FG415" s="1033"/>
      <c r="FH415" s="1033"/>
      <c r="FI415" s="1033"/>
      <c r="FJ415" s="1033"/>
      <c r="FK415" s="1033"/>
      <c r="FL415" s="1033"/>
      <c r="FM415" s="1033"/>
      <c r="FN415" s="1033"/>
      <c r="FO415" s="1033"/>
      <c r="FP415" s="1033"/>
      <c r="FQ415" s="1033"/>
      <c r="FR415" s="1033"/>
      <c r="FS415" s="1033"/>
      <c r="FT415" s="1033"/>
      <c r="FU415" s="1033"/>
      <c r="FV415" s="1033"/>
      <c r="FW415" s="1033"/>
      <c r="FX415" s="1033"/>
      <c r="FY415" s="1033"/>
      <c r="FZ415" s="1033"/>
      <c r="GA415" s="1033"/>
      <c r="GB415" s="1033"/>
      <c r="GC415" s="1033"/>
      <c r="GD415" s="1033"/>
      <c r="GE415" s="1033"/>
      <c r="GF415" s="1033"/>
      <c r="GG415" s="1033"/>
      <c r="GH415" s="1033"/>
      <c r="GI415" s="1033"/>
      <c r="GJ415" s="1033"/>
      <c r="GK415" s="1033"/>
      <c r="GL415" s="1033"/>
      <c r="GM415" s="1033"/>
      <c r="GN415" s="1033"/>
      <c r="GO415" s="1033"/>
      <c r="GP415" s="1033"/>
      <c r="GQ415" s="1033"/>
      <c r="GR415" s="1033"/>
      <c r="GS415" s="1033"/>
      <c r="GT415" s="1033"/>
      <c r="GU415" s="1033"/>
      <c r="GV415" s="1033"/>
      <c r="GW415" s="1033"/>
      <c r="GX415" s="1033"/>
      <c r="GY415" s="1033"/>
      <c r="GZ415" s="1033"/>
      <c r="HA415" s="1033"/>
      <c r="HB415" s="1033"/>
      <c r="HC415" s="1033"/>
      <c r="HD415" s="1033"/>
      <c r="HE415" s="1033"/>
      <c r="HF415" s="1033"/>
      <c r="HG415" s="1033"/>
      <c r="HH415" s="1033"/>
      <c r="HI415" s="1033"/>
      <c r="HJ415" s="1033"/>
      <c r="HK415" s="1033"/>
      <c r="HL415" s="1033"/>
      <c r="HM415" s="1033"/>
      <c r="HN415" s="1033"/>
      <c r="HO415" s="1033"/>
      <c r="HP415" s="1033"/>
      <c r="HQ415" s="1033"/>
      <c r="HR415" s="1033"/>
      <c r="HS415" s="1033"/>
      <c r="HT415" s="1033"/>
      <c r="HU415" s="1033"/>
      <c r="HV415" s="1033"/>
      <c r="HW415" s="1033"/>
      <c r="HX415" s="1033"/>
      <c r="HY415" s="1033"/>
      <c r="HZ415" s="1033"/>
      <c r="IA415" s="1033"/>
      <c r="IB415" s="1033"/>
      <c r="IC415" s="1033"/>
      <c r="ID415" s="1033"/>
      <c r="IE415" s="1033"/>
      <c r="IF415" s="1033"/>
      <c r="IG415" s="1033"/>
      <c r="IH415" s="1033"/>
      <c r="II415" s="1033"/>
      <c r="IJ415" s="1033"/>
      <c r="IK415" s="1033"/>
      <c r="IL415" s="1033"/>
      <c r="IM415" s="1033"/>
      <c r="IN415" s="1033"/>
      <c r="IO415" s="1033"/>
      <c r="IP415" s="1033"/>
      <c r="IQ415" s="1033"/>
      <c r="IR415" s="1033"/>
      <c r="IS415" s="1033"/>
      <c r="IT415" s="1033"/>
      <c r="IU415" s="1033"/>
      <c r="IV415" s="1033"/>
      <c r="IW415" s="1033"/>
      <c r="IX415" s="1033"/>
      <c r="IY415" s="1033"/>
      <c r="IZ415" s="1033"/>
      <c r="JA415" s="1033"/>
      <c r="JB415" s="1033"/>
      <c r="JC415" s="1033"/>
      <c r="JD415" s="1033"/>
      <c r="JE415" s="1033"/>
      <c r="JF415" s="1033"/>
      <c r="JG415" s="1033"/>
      <c r="JH415" s="1033"/>
      <c r="JI415" s="1033"/>
      <c r="JJ415" s="1033"/>
      <c r="JK415" s="1033"/>
      <c r="JL415" s="1033"/>
      <c r="JM415" s="1033"/>
      <c r="JN415" s="1033"/>
      <c r="JO415" s="1033"/>
      <c r="JP415" s="1033"/>
      <c r="JQ415" s="1033"/>
      <c r="JR415" s="1033"/>
      <c r="JS415" s="1033"/>
      <c r="JT415" s="1033"/>
      <c r="JU415" s="1033"/>
      <c r="JV415" s="1033"/>
      <c r="JW415" s="1033"/>
      <c r="JX415" s="1033"/>
      <c r="JY415" s="1033"/>
      <c r="JZ415" s="1033"/>
      <c r="KA415" s="1033"/>
      <c r="KB415" s="1033"/>
      <c r="KC415" s="1033"/>
      <c r="KD415" s="1033"/>
      <c r="KE415" s="1033"/>
      <c r="KF415" s="1033"/>
      <c r="KG415" s="1033"/>
      <c r="KH415" s="1033"/>
      <c r="KI415" s="1033"/>
      <c r="KJ415" s="1033"/>
      <c r="KK415" s="1033"/>
      <c r="KL415" s="1033"/>
      <c r="KM415" s="1033"/>
      <c r="KN415" s="1033"/>
      <c r="KO415" s="1033"/>
      <c r="KP415" s="1033"/>
      <c r="KQ415" s="1033"/>
      <c r="KR415" s="1033"/>
      <c r="KS415" s="1033"/>
      <c r="KT415" s="1033"/>
      <c r="KU415" s="1033"/>
      <c r="KV415" s="1033"/>
      <c r="KW415" s="1033"/>
      <c r="KX415" s="1033"/>
      <c r="KY415" s="1033"/>
      <c r="KZ415" s="1033"/>
      <c r="LA415" s="1033"/>
      <c r="LB415" s="1033"/>
      <c r="LC415" s="1033"/>
      <c r="LD415" s="1033"/>
      <c r="LE415" s="1033"/>
      <c r="LF415" s="1033"/>
      <c r="LG415" s="1033"/>
      <c r="LH415" s="1033"/>
      <c r="LI415" s="1033"/>
      <c r="LJ415" s="1033"/>
      <c r="LK415" s="1033"/>
      <c r="LL415" s="1033"/>
      <c r="LM415" s="1033"/>
      <c r="LN415" s="1033"/>
      <c r="LO415" s="1033"/>
      <c r="LP415" s="1033"/>
      <c r="LQ415" s="1033"/>
      <c r="LR415" s="1033"/>
      <c r="LS415" s="1033"/>
      <c r="LT415" s="1033"/>
      <c r="LU415" s="1033"/>
      <c r="LV415" s="1033"/>
      <c r="LW415" s="1033"/>
      <c r="LX415" s="1033"/>
      <c r="LY415" s="1033"/>
      <c r="LZ415" s="1033"/>
      <c r="MA415" s="1033"/>
      <c r="MB415" s="1033"/>
      <c r="MC415" s="1033"/>
      <c r="MD415" s="1033"/>
      <c r="ME415" s="1033"/>
      <c r="MF415" s="1033"/>
      <c r="MG415" s="1033"/>
      <c r="MH415" s="1033"/>
      <c r="MI415" s="1033"/>
      <c r="MJ415" s="1033"/>
      <c r="MK415" s="1033"/>
      <c r="ML415" s="1033"/>
      <c r="MM415" s="1033"/>
      <c r="MN415" s="1033"/>
      <c r="MO415" s="1033"/>
      <c r="MP415" s="1033"/>
      <c r="MQ415" s="1033"/>
      <c r="MR415" s="1033"/>
      <c r="MS415" s="1033"/>
      <c r="MT415" s="1033"/>
      <c r="MU415" s="1033"/>
      <c r="MV415" s="1033"/>
      <c r="MW415" s="1033"/>
      <c r="MX415" s="1033"/>
      <c r="MY415" s="1033"/>
      <c r="MZ415" s="1033"/>
      <c r="NA415" s="1033"/>
      <c r="NB415" s="1033"/>
      <c r="NC415" s="1033"/>
      <c r="ND415" s="1033"/>
      <c r="NE415" s="1033"/>
      <c r="NF415" s="1033"/>
      <c r="NG415" s="1033"/>
      <c r="NH415" s="1033"/>
      <c r="NI415" s="1033"/>
      <c r="NJ415" s="1033"/>
      <c r="NK415" s="1033"/>
      <c r="NL415" s="1033"/>
      <c r="NM415" s="1033"/>
      <c r="NN415" s="1033"/>
      <c r="NO415" s="1033"/>
      <c r="NP415" s="1033"/>
      <c r="NQ415" s="1033"/>
      <c r="NR415" s="1033"/>
      <c r="NS415" s="1033"/>
      <c r="NT415" s="1033"/>
      <c r="NU415" s="1033"/>
      <c r="NV415" s="1033"/>
      <c r="NW415" s="1033"/>
      <c r="NX415" s="1033"/>
      <c r="NY415" s="1033"/>
      <c r="NZ415" s="1033"/>
      <c r="OA415" s="1033"/>
      <c r="OB415" s="1033"/>
      <c r="OC415" s="1033"/>
      <c r="OD415" s="1033"/>
      <c r="OE415" s="1033"/>
      <c r="OF415" s="1033"/>
      <c r="OG415" s="1033"/>
      <c r="OH415" s="1033"/>
      <c r="OI415" s="1033"/>
      <c r="OJ415" s="1033"/>
      <c r="OK415" s="1033"/>
      <c r="OL415" s="1033"/>
      <c r="OM415" s="1033"/>
      <c r="ON415" s="1033"/>
      <c r="OO415" s="1033"/>
      <c r="OP415" s="1033"/>
      <c r="OQ415" s="1033"/>
      <c r="OR415" s="1033"/>
      <c r="OS415" s="1033"/>
      <c r="OT415" s="1033"/>
      <c r="OU415" s="1033"/>
      <c r="OV415" s="1033"/>
      <c r="OW415" s="1033"/>
      <c r="OX415" s="1033"/>
      <c r="OY415" s="1033"/>
      <c r="OZ415" s="1033"/>
      <c r="PA415" s="1033"/>
      <c r="PB415" s="1033"/>
      <c r="PC415" s="1033"/>
      <c r="PD415" s="1033"/>
      <c r="PE415" s="1033"/>
      <c r="PF415" s="1033"/>
      <c r="PG415" s="1033"/>
      <c r="PH415" s="1033"/>
      <c r="PI415" s="1033"/>
      <c r="PJ415" s="1033"/>
      <c r="PK415" s="1033"/>
      <c r="PL415" s="1033"/>
      <c r="PM415" s="1033"/>
      <c r="PN415" s="1033"/>
      <c r="PO415" s="1033"/>
      <c r="PP415" s="1033"/>
      <c r="PQ415" s="1033"/>
      <c r="PR415" s="1033"/>
      <c r="PS415" s="1033"/>
      <c r="PT415" s="1033"/>
      <c r="PU415" s="1033"/>
      <c r="PV415" s="1033"/>
      <c r="PW415" s="1033"/>
      <c r="PX415" s="1033"/>
      <c r="PY415" s="1033"/>
      <c r="PZ415" s="1033"/>
      <c r="QA415" s="1033"/>
      <c r="QB415" s="1033"/>
      <c r="QC415" s="1033"/>
      <c r="QD415" s="1033"/>
      <c r="QE415" s="1033"/>
      <c r="QF415" s="1033"/>
      <c r="QG415" s="1033"/>
      <c r="QH415" s="1033"/>
      <c r="QI415" s="1033"/>
      <c r="QJ415" s="1033"/>
      <c r="QK415" s="1033"/>
      <c r="QL415" s="1033"/>
      <c r="QM415" s="1033"/>
      <c r="QN415" s="1033"/>
      <c r="QO415" s="1033"/>
      <c r="QP415" s="1033"/>
      <c r="QQ415" s="1033"/>
      <c r="QR415" s="1033"/>
      <c r="QS415" s="1033"/>
      <c r="QT415" s="1033"/>
      <c r="QU415" s="1033"/>
      <c r="QV415" s="1033"/>
      <c r="QW415" s="1033"/>
      <c r="QX415" s="1033"/>
      <c r="QY415" s="1033"/>
      <c r="QZ415" s="1033"/>
      <c r="RA415" s="1033"/>
      <c r="RB415" s="1033"/>
      <c r="RC415" s="1033"/>
      <c r="RD415" s="1033"/>
      <c r="RE415" s="1033"/>
      <c r="RF415" s="1033"/>
      <c r="RG415" s="1033"/>
      <c r="RH415" s="1033"/>
      <c r="RI415" s="1033"/>
      <c r="RJ415" s="1033"/>
      <c r="RK415" s="1033"/>
      <c r="RL415" s="1033"/>
      <c r="RM415" s="1033"/>
      <c r="RN415" s="1033"/>
      <c r="RO415" s="1033"/>
      <c r="RP415" s="1033"/>
      <c r="RQ415" s="1033"/>
      <c r="RR415" s="1033"/>
      <c r="RS415" s="1033"/>
      <c r="RT415" s="1033"/>
      <c r="RU415" s="1033"/>
      <c r="RV415" s="1033"/>
      <c r="RW415" s="1033"/>
      <c r="RX415" s="1033"/>
      <c r="RY415" s="1033"/>
      <c r="RZ415" s="1033"/>
      <c r="SA415" s="1033"/>
      <c r="SB415" s="1033"/>
      <c r="SC415" s="1033"/>
      <c r="SD415" s="1033"/>
      <c r="SE415" s="1033"/>
      <c r="SF415" s="1033"/>
      <c r="SG415" s="1033"/>
      <c r="SH415" s="1033"/>
      <c r="SI415" s="1033"/>
      <c r="SJ415" s="1033"/>
      <c r="SK415" s="1033"/>
      <c r="SL415" s="1033"/>
      <c r="SM415" s="1033"/>
      <c r="SN415" s="1033"/>
      <c r="SO415" s="1033"/>
      <c r="SP415" s="1033"/>
      <c r="SQ415" s="1033"/>
      <c r="SR415" s="1033"/>
      <c r="SS415" s="1033"/>
      <c r="ST415" s="1033"/>
      <c r="SU415" s="1033"/>
      <c r="SV415" s="1033"/>
      <c r="SW415" s="1033"/>
      <c r="SX415" s="1033"/>
      <c r="SY415" s="1033"/>
      <c r="SZ415" s="1033"/>
      <c r="TA415" s="1033"/>
      <c r="TB415" s="1033"/>
      <c r="TC415" s="1033"/>
      <c r="TD415" s="1033"/>
      <c r="TE415" s="1033"/>
      <c r="TF415" s="1033"/>
      <c r="TG415" s="1033"/>
      <c r="TH415" s="1033"/>
      <c r="TI415" s="1033"/>
      <c r="TJ415" s="1033"/>
      <c r="TK415" s="1033"/>
      <c r="TL415" s="1033"/>
      <c r="TM415" s="1033"/>
      <c r="TN415" s="1033"/>
      <c r="TO415" s="1033"/>
      <c r="TP415" s="1033"/>
      <c r="TQ415" s="1033"/>
      <c r="TR415" s="1033"/>
      <c r="TS415" s="1033"/>
      <c r="TT415" s="1033"/>
      <c r="TU415" s="1033"/>
      <c r="TV415" s="1033"/>
      <c r="TW415" s="1033"/>
      <c r="TX415" s="1033"/>
      <c r="TY415" s="1033"/>
      <c r="TZ415" s="1033"/>
      <c r="UA415" s="1033"/>
      <c r="UB415" s="1033"/>
      <c r="UC415" s="1033"/>
      <c r="UD415" s="1033"/>
      <c r="UE415" s="1033"/>
      <c r="UF415" s="1033"/>
      <c r="UG415" s="1033"/>
      <c r="UH415" s="1033"/>
      <c r="UI415" s="1033"/>
      <c r="UJ415" s="1033"/>
      <c r="UK415" s="1033"/>
      <c r="UL415" s="1033"/>
      <c r="UM415" s="1033"/>
      <c r="UN415" s="1033"/>
      <c r="UO415" s="1033"/>
      <c r="UP415" s="1033"/>
      <c r="UQ415" s="1033"/>
      <c r="UR415" s="1033"/>
      <c r="US415" s="1033"/>
      <c r="UT415" s="1033"/>
      <c r="UU415" s="1033"/>
      <c r="UV415" s="1033"/>
      <c r="UW415" s="1033"/>
      <c r="UX415" s="1033"/>
      <c r="UY415" s="1033"/>
      <c r="UZ415" s="1033"/>
      <c r="VA415" s="1033"/>
      <c r="VB415" s="1033"/>
      <c r="VC415" s="1033"/>
      <c r="VD415" s="1033"/>
      <c r="VE415" s="1033"/>
      <c r="VF415" s="1033"/>
      <c r="VG415" s="1033"/>
      <c r="VH415" s="1033"/>
      <c r="VI415" s="1033"/>
      <c r="VJ415" s="1033"/>
      <c r="VK415" s="1033"/>
      <c r="VL415" s="1033"/>
      <c r="VM415" s="1033"/>
      <c r="VN415" s="1033"/>
      <c r="VO415" s="1033"/>
      <c r="VP415" s="1033"/>
      <c r="VQ415" s="1033"/>
      <c r="VR415" s="1033"/>
      <c r="VS415" s="1033"/>
      <c r="VT415" s="1033"/>
      <c r="VU415" s="1033"/>
      <c r="VV415" s="1033"/>
      <c r="VW415" s="1033"/>
      <c r="VX415" s="1033"/>
      <c r="VY415" s="1033"/>
      <c r="VZ415" s="1033"/>
      <c r="WA415" s="1033"/>
      <c r="WB415" s="1033"/>
      <c r="WC415" s="1033"/>
      <c r="WD415" s="1033"/>
      <c r="WE415" s="1033"/>
      <c r="WF415" s="1033"/>
      <c r="WG415" s="1033"/>
      <c r="WH415" s="1033"/>
      <c r="WI415" s="1033"/>
      <c r="WJ415" s="1033"/>
      <c r="WK415" s="1033"/>
      <c r="WL415" s="1033"/>
      <c r="WM415" s="1033"/>
      <c r="WN415" s="1033"/>
      <c r="WO415" s="1033"/>
      <c r="WP415" s="1033"/>
      <c r="WQ415" s="1033"/>
      <c r="WR415" s="1033"/>
      <c r="WS415" s="1033"/>
      <c r="WT415" s="1033"/>
      <c r="WU415" s="1033"/>
      <c r="WV415" s="1033"/>
      <c r="WW415" s="1033"/>
      <c r="WX415" s="1033"/>
      <c r="WY415" s="1033"/>
      <c r="WZ415" s="1033"/>
      <c r="XA415" s="1033"/>
      <c r="XB415" s="1033"/>
      <c r="XC415" s="1033"/>
      <c r="XD415" s="1033"/>
      <c r="XE415" s="1033"/>
      <c r="XF415" s="1033"/>
      <c r="XG415" s="1033"/>
      <c r="XH415" s="1033"/>
      <c r="XI415" s="1033"/>
      <c r="XJ415" s="1033"/>
      <c r="XK415" s="1033"/>
      <c r="XL415" s="1033"/>
      <c r="XM415" s="1033"/>
      <c r="XN415" s="1033"/>
      <c r="XO415" s="1033"/>
      <c r="XP415" s="1033"/>
      <c r="XQ415" s="1033"/>
      <c r="XR415" s="1033"/>
      <c r="XS415" s="1033"/>
      <c r="XT415" s="1033"/>
      <c r="XU415" s="1033"/>
      <c r="XV415" s="1033"/>
      <c r="XW415" s="1033"/>
      <c r="XX415" s="1033"/>
      <c r="XY415" s="1033"/>
      <c r="XZ415" s="1033"/>
      <c r="YA415" s="1033"/>
      <c r="YB415" s="1033"/>
      <c r="YC415" s="1033"/>
      <c r="YD415" s="1033"/>
      <c r="YE415" s="1033"/>
      <c r="YF415" s="1033"/>
      <c r="YG415" s="1033"/>
      <c r="YH415" s="1033"/>
      <c r="YI415" s="1033"/>
      <c r="YJ415" s="1033"/>
      <c r="YK415" s="1033"/>
      <c r="YL415" s="1033"/>
      <c r="YM415" s="1033"/>
      <c r="YN415" s="1033"/>
      <c r="YO415" s="1033"/>
      <c r="YP415" s="1033"/>
      <c r="YQ415" s="1033"/>
      <c r="YR415" s="1033"/>
      <c r="YS415" s="1033"/>
      <c r="YT415" s="1033"/>
      <c r="YU415" s="1033"/>
      <c r="YV415" s="1033"/>
      <c r="YW415" s="1033"/>
      <c r="YX415" s="1033"/>
      <c r="YY415" s="1033"/>
      <c r="YZ415" s="1033"/>
      <c r="ZA415" s="1033"/>
      <c r="ZB415" s="1033"/>
      <c r="ZC415" s="1033"/>
      <c r="ZD415" s="1033"/>
      <c r="ZE415" s="1033"/>
      <c r="ZF415" s="1033"/>
      <c r="ZG415" s="1033"/>
      <c r="ZH415" s="1033"/>
      <c r="ZI415" s="1033"/>
      <c r="ZJ415" s="1033"/>
      <c r="ZK415" s="1033"/>
      <c r="ZL415" s="1033"/>
      <c r="ZM415" s="1033"/>
      <c r="ZN415" s="1033"/>
      <c r="ZO415" s="1033"/>
      <c r="ZP415" s="1033"/>
      <c r="ZQ415" s="1033"/>
      <c r="ZR415" s="1033"/>
      <c r="ZS415" s="1033"/>
      <c r="ZT415" s="1033"/>
      <c r="ZU415" s="1033"/>
      <c r="ZV415" s="1033"/>
      <c r="ZW415" s="1033"/>
      <c r="ZX415" s="1033"/>
      <c r="ZY415" s="1033"/>
      <c r="ZZ415" s="1033"/>
      <c r="AAA415" s="1033"/>
      <c r="AAB415" s="1033"/>
      <c r="AAC415" s="1033"/>
      <c r="AAD415" s="1033"/>
      <c r="AAE415" s="1033"/>
      <c r="AAF415" s="1033"/>
      <c r="AAG415" s="1033"/>
      <c r="AAH415" s="1033"/>
      <c r="AAI415" s="1033"/>
      <c r="AAJ415" s="1033"/>
      <c r="AAK415" s="1033"/>
      <c r="AAL415" s="1033"/>
      <c r="AAM415" s="1033"/>
      <c r="AAN415" s="1033"/>
      <c r="AAO415" s="1033"/>
      <c r="AAP415" s="1033"/>
      <c r="AAQ415" s="1033"/>
      <c r="AAR415" s="1033"/>
      <c r="AAS415" s="1033"/>
      <c r="AAT415" s="1033"/>
      <c r="AAU415" s="1033"/>
      <c r="AAV415" s="1033"/>
      <c r="AAW415" s="1033"/>
      <c r="AAX415" s="1033"/>
      <c r="AAY415" s="1033"/>
      <c r="AAZ415" s="1033"/>
      <c r="ABA415" s="1033"/>
      <c r="ABB415" s="1033"/>
      <c r="ABC415" s="1033"/>
      <c r="ABD415" s="1033"/>
      <c r="ABE415" s="1033"/>
      <c r="ABF415" s="1033"/>
      <c r="ABG415" s="1033"/>
      <c r="ABH415" s="1033"/>
      <c r="ABI415" s="1033"/>
      <c r="ABJ415" s="1033"/>
      <c r="ABK415" s="1033"/>
      <c r="ABL415" s="1033"/>
      <c r="ABM415" s="1033"/>
      <c r="ABN415" s="1033"/>
      <c r="ABO415" s="1033"/>
      <c r="ABP415" s="1033"/>
      <c r="ABQ415" s="1033"/>
      <c r="ABR415" s="1033"/>
      <c r="ABS415" s="1033"/>
      <c r="ABT415" s="1033"/>
      <c r="ABU415" s="1033"/>
      <c r="ABV415" s="1033"/>
      <c r="ABW415" s="1033"/>
      <c r="ABX415" s="1033"/>
      <c r="ABY415" s="1033"/>
      <c r="ABZ415" s="1033"/>
      <c r="ACA415" s="1033"/>
      <c r="ACB415" s="1033"/>
      <c r="ACC415" s="1033"/>
      <c r="ACD415" s="1033"/>
      <c r="ACE415" s="1033"/>
      <c r="ACF415" s="1033"/>
      <c r="ACG415" s="1033"/>
      <c r="ACH415" s="1033"/>
      <c r="ACI415" s="1033"/>
      <c r="ACJ415" s="1033"/>
      <c r="ACK415" s="1033"/>
      <c r="ACL415" s="1033"/>
      <c r="ACM415" s="1033"/>
      <c r="ACN415" s="1033"/>
      <c r="ACO415" s="1033"/>
      <c r="ACP415" s="1033"/>
      <c r="ACQ415" s="1033"/>
      <c r="ACR415" s="1033"/>
      <c r="ACS415" s="1033"/>
      <c r="ACT415" s="1033"/>
      <c r="ACU415" s="1033"/>
      <c r="ACV415" s="1033"/>
      <c r="ACW415" s="1033"/>
      <c r="ACX415" s="1033"/>
      <c r="ACY415" s="1033"/>
      <c r="ACZ415" s="1033"/>
      <c r="ADA415" s="1033"/>
      <c r="ADB415" s="1033"/>
      <c r="ADC415" s="1033"/>
      <c r="ADD415" s="1033"/>
      <c r="ADE415" s="1033"/>
      <c r="ADF415" s="1033"/>
      <c r="ADG415" s="1033"/>
      <c r="ADH415" s="1033"/>
      <c r="ADI415" s="1033"/>
      <c r="ADJ415" s="1033"/>
      <c r="ADK415" s="1033"/>
      <c r="ADL415" s="1033"/>
      <c r="ADM415" s="1033"/>
      <c r="ADN415" s="1033"/>
      <c r="ADO415" s="1033"/>
      <c r="ADP415" s="1033"/>
      <c r="ADQ415" s="1033"/>
      <c r="ADR415" s="1033"/>
      <c r="ADS415" s="1033"/>
      <c r="ADT415" s="1033"/>
      <c r="ADU415" s="1033"/>
      <c r="ADV415" s="1033"/>
      <c r="ADW415" s="1033"/>
      <c r="ADX415" s="1033"/>
      <c r="ADY415" s="1033"/>
      <c r="ADZ415" s="1033"/>
      <c r="AEA415" s="1033"/>
      <c r="AEB415" s="1033"/>
      <c r="AEC415" s="1033"/>
      <c r="AED415" s="1033"/>
      <c r="AEE415" s="1033"/>
      <c r="AEF415" s="1033"/>
      <c r="AEG415" s="1033"/>
      <c r="AEH415" s="1033"/>
      <c r="AEI415" s="1033"/>
      <c r="AEJ415" s="1033"/>
      <c r="AEK415" s="1033"/>
      <c r="AEL415" s="1033"/>
      <c r="AEM415" s="1033"/>
      <c r="AEN415" s="1033"/>
      <c r="AEO415" s="1033"/>
      <c r="AEP415" s="1033"/>
      <c r="AEQ415" s="1033"/>
      <c r="AER415" s="1033"/>
      <c r="AES415" s="1033"/>
      <c r="AET415" s="1033"/>
      <c r="AEU415" s="1033"/>
      <c r="AEV415" s="1033"/>
      <c r="AEW415" s="1033"/>
      <c r="AEX415" s="1033"/>
      <c r="AEY415" s="1033"/>
      <c r="AEZ415" s="1033"/>
      <c r="AFA415" s="1033"/>
      <c r="AFB415" s="1033"/>
      <c r="AFC415" s="1033"/>
      <c r="AFD415" s="1033"/>
      <c r="AFE415" s="1033"/>
      <c r="AFF415" s="1033"/>
      <c r="AFG415" s="1033"/>
      <c r="AFH415" s="1033"/>
      <c r="AFI415" s="1033"/>
      <c r="AFJ415" s="1033"/>
      <c r="AFK415" s="1033"/>
      <c r="AFL415" s="1033"/>
      <c r="AFM415" s="1033"/>
      <c r="AFN415" s="1033"/>
      <c r="AFO415" s="1033"/>
      <c r="AFP415" s="1033"/>
      <c r="AFQ415" s="1033"/>
      <c r="AFR415" s="1033"/>
      <c r="AFS415" s="1033"/>
      <c r="AFT415" s="1033"/>
      <c r="AFU415" s="1033"/>
      <c r="AFV415" s="1033"/>
      <c r="AFW415" s="1033"/>
      <c r="AFX415" s="1033"/>
      <c r="AFY415" s="1033"/>
      <c r="AFZ415" s="1033"/>
      <c r="AGA415" s="1033"/>
      <c r="AGB415" s="1033"/>
      <c r="AGC415" s="1033"/>
      <c r="AGD415" s="1033"/>
      <c r="AGE415" s="1033"/>
      <c r="AGF415" s="1033"/>
      <c r="AGG415" s="1033"/>
      <c r="AGH415" s="1033"/>
      <c r="AGI415" s="1033"/>
      <c r="AGJ415" s="1033"/>
      <c r="AGK415" s="1033"/>
      <c r="AGL415" s="1033"/>
      <c r="AGM415" s="1033"/>
      <c r="AGN415" s="1033"/>
      <c r="AGO415" s="1033"/>
      <c r="AGP415" s="1033"/>
      <c r="AGQ415" s="1033"/>
      <c r="AGR415" s="1033"/>
      <c r="AGS415" s="1033"/>
      <c r="AGT415" s="1033"/>
      <c r="AGU415" s="1033"/>
      <c r="AGV415" s="1033"/>
      <c r="AGW415" s="1033"/>
      <c r="AGX415" s="1033"/>
      <c r="AGY415" s="1033"/>
      <c r="AGZ415" s="1033"/>
      <c r="AHA415" s="1033"/>
      <c r="AHB415" s="1033"/>
      <c r="AHC415" s="1033"/>
      <c r="AHD415" s="1033"/>
      <c r="AHE415" s="1033"/>
      <c r="AHF415" s="1033"/>
      <c r="AHG415" s="1033"/>
      <c r="AHH415" s="1033"/>
      <c r="AHI415" s="1033"/>
      <c r="AHJ415" s="1033"/>
      <c r="AHK415" s="1033"/>
      <c r="AHL415" s="1033"/>
      <c r="AHM415" s="1033"/>
      <c r="AHN415" s="1033"/>
      <c r="AHO415" s="1033"/>
      <c r="AHP415" s="1033"/>
      <c r="AHQ415" s="1033"/>
      <c r="AHR415" s="1033"/>
      <c r="AHS415" s="1033"/>
      <c r="AHT415" s="1033"/>
      <c r="AHU415" s="1033"/>
      <c r="AHV415" s="1033"/>
      <c r="AHW415" s="1033"/>
      <c r="AHX415" s="1033"/>
      <c r="AHY415" s="1033"/>
      <c r="AHZ415" s="1033"/>
      <c r="AIA415" s="1033"/>
      <c r="AIB415" s="1033"/>
      <c r="AIC415" s="1033"/>
      <c r="AID415" s="1033"/>
      <c r="AIE415" s="1033"/>
      <c r="AIF415" s="1033"/>
      <c r="AIG415" s="1033"/>
      <c r="AIH415" s="1033"/>
      <c r="AII415" s="1033"/>
      <c r="AIJ415" s="1033"/>
      <c r="AIK415" s="1033"/>
      <c r="AIL415" s="1033"/>
      <c r="AIM415" s="1033"/>
      <c r="AIN415" s="1033"/>
      <c r="AIO415" s="1033"/>
      <c r="AIP415" s="1033"/>
      <c r="AIQ415" s="1033"/>
      <c r="AIR415" s="1033"/>
      <c r="AIS415" s="1033"/>
      <c r="AIT415" s="1033"/>
      <c r="AIU415" s="1033"/>
      <c r="AIV415" s="1033"/>
      <c r="AIW415" s="1033"/>
      <c r="AIX415" s="1033"/>
      <c r="AIY415" s="1033"/>
      <c r="AIZ415" s="1033"/>
      <c r="AJA415" s="1033"/>
      <c r="AJB415" s="1033"/>
      <c r="AJC415" s="1033"/>
      <c r="AJD415" s="1033"/>
      <c r="AJE415" s="1033"/>
      <c r="AJF415" s="1033"/>
      <c r="AJG415" s="1033"/>
      <c r="AJH415" s="1033"/>
      <c r="AJI415" s="1033"/>
      <c r="AJJ415" s="1033"/>
      <c r="AJK415" s="1033"/>
      <c r="AJL415" s="1033"/>
      <c r="AJM415" s="1033"/>
      <c r="AJN415" s="1033"/>
      <c r="AJO415" s="1033"/>
      <c r="AJP415" s="1033"/>
      <c r="AJQ415" s="1033"/>
      <c r="AJR415" s="1033"/>
      <c r="AJS415" s="1033"/>
      <c r="AJT415" s="1033"/>
      <c r="AJU415" s="1033"/>
      <c r="AJV415" s="1033"/>
      <c r="AJW415" s="1033"/>
      <c r="AJX415" s="1033"/>
      <c r="AJY415" s="1033"/>
      <c r="AJZ415" s="1033"/>
      <c r="AKA415" s="1033"/>
      <c r="AKB415" s="1033"/>
      <c r="AKC415" s="1033"/>
      <c r="AKD415" s="1033"/>
      <c r="AKE415" s="1033"/>
      <c r="AKF415" s="1033"/>
      <c r="AKG415" s="1033"/>
      <c r="AKH415" s="1033"/>
      <c r="AKI415" s="1033"/>
      <c r="AKJ415" s="1033"/>
      <c r="AKK415" s="1033"/>
      <c r="AKL415" s="1033"/>
      <c r="AKM415" s="1033"/>
      <c r="AKN415" s="1033"/>
      <c r="AKO415" s="1033"/>
      <c r="AKP415" s="1033"/>
      <c r="AKQ415" s="1033"/>
      <c r="AKR415" s="1033"/>
      <c r="AKS415" s="1033"/>
      <c r="AKT415" s="1033"/>
      <c r="AKU415" s="1033"/>
      <c r="AKV415" s="1033"/>
      <c r="AKW415" s="1033"/>
      <c r="AKX415" s="1033"/>
      <c r="AKY415" s="1033"/>
      <c r="AKZ415" s="1033"/>
      <c r="ALA415" s="1033"/>
      <c r="ALB415" s="1033"/>
      <c r="ALC415" s="1033"/>
      <c r="ALD415" s="1033"/>
      <c r="ALE415" s="1033"/>
      <c r="ALF415" s="1033"/>
      <c r="ALG415" s="1033"/>
      <c r="ALH415" s="1033"/>
      <c r="ALI415" s="1033"/>
      <c r="ALJ415" s="1033"/>
      <c r="ALK415" s="1033"/>
      <c r="ALL415" s="1033"/>
      <c r="ALM415" s="1033"/>
      <c r="ALN415" s="1033"/>
      <c r="ALO415" s="1033"/>
      <c r="ALP415" s="1033"/>
      <c r="ALQ415" s="1033"/>
      <c r="ALR415" s="1033"/>
      <c r="ALS415" s="1033"/>
      <c r="ALT415" s="1033"/>
      <c r="ALU415" s="1033"/>
      <c r="ALV415" s="1033"/>
      <c r="ALW415" s="1033"/>
      <c r="ALX415" s="1033"/>
      <c r="ALY415" s="1033"/>
      <c r="ALZ415" s="1033"/>
      <c r="AMA415" s="1033"/>
      <c r="AMB415" s="1033"/>
      <c r="AMC415" s="1033"/>
      <c r="AMD415" s="1033"/>
      <c r="AME415" s="1033"/>
      <c r="AMF415" s="1033"/>
      <c r="AMG415" s="1033"/>
      <c r="AMH415" s="1033"/>
      <c r="AMI415" s="1033"/>
      <c r="AMJ415" s="1033"/>
      <c r="AMK415" s="1033"/>
      <c r="AML415" s="1033"/>
    </row>
    <row r="416" spans="1:1026" s="835" customFormat="1" ht="26.25" customHeight="1" outlineLevel="1">
      <c r="A416" s="1023"/>
      <c r="B416" s="444" t="s">
        <v>1091</v>
      </c>
      <c r="C416" s="886" t="s">
        <v>1092</v>
      </c>
      <c r="D416" s="451" t="s">
        <v>1093</v>
      </c>
      <c r="E416" s="449" t="s">
        <v>27</v>
      </c>
      <c r="F416" s="992">
        <f>'GRADIL - A.VERDE - Á EXT.'!D38</f>
        <v>15.6</v>
      </c>
      <c r="G416" s="925">
        <f t="shared" si="123"/>
        <v>9.8800000000000008</v>
      </c>
      <c r="H416" s="889">
        <f t="shared" si="124"/>
        <v>154.12800000000001</v>
      </c>
      <c r="I416" s="1023"/>
      <c r="J416" s="1034">
        <v>7.8</v>
      </c>
      <c r="K416" s="1032">
        <f t="shared" si="109"/>
        <v>9.8800000000000008</v>
      </c>
      <c r="L416" s="1033"/>
      <c r="M416" s="1033"/>
      <c r="N416" s="1033"/>
      <c r="O416" s="1033"/>
      <c r="P416" s="1033"/>
      <c r="Q416" s="1033"/>
      <c r="R416" s="1033"/>
      <c r="S416" s="1033"/>
      <c r="T416" s="1033"/>
      <c r="U416" s="1033"/>
      <c r="V416" s="1033"/>
      <c r="W416" s="1033"/>
      <c r="X416" s="1033"/>
      <c r="Y416" s="1033"/>
      <c r="Z416" s="1033"/>
      <c r="AA416" s="1033"/>
      <c r="AB416" s="1033"/>
      <c r="AC416" s="1033"/>
      <c r="AD416" s="1033"/>
      <c r="AE416" s="1033"/>
      <c r="AF416" s="1033"/>
      <c r="AG416" s="1033"/>
      <c r="AH416" s="1033"/>
      <c r="AI416" s="1033"/>
      <c r="AJ416" s="1033"/>
      <c r="AK416" s="1033"/>
      <c r="AL416" s="1033"/>
      <c r="AM416" s="1033"/>
      <c r="AN416" s="1033"/>
      <c r="AO416" s="1033"/>
      <c r="AP416" s="1033"/>
      <c r="AQ416" s="1033"/>
      <c r="AR416" s="1033"/>
      <c r="AS416" s="1033"/>
      <c r="AT416" s="1033"/>
      <c r="AU416" s="1033"/>
      <c r="AV416" s="1033"/>
      <c r="AW416" s="1033"/>
      <c r="AX416" s="1033"/>
      <c r="AY416" s="1033"/>
      <c r="AZ416" s="1033"/>
      <c r="BA416" s="1033"/>
      <c r="BB416" s="1033"/>
      <c r="BC416" s="1033"/>
      <c r="BD416" s="1033"/>
      <c r="BE416" s="1033"/>
      <c r="BF416" s="1033"/>
      <c r="BG416" s="1033"/>
      <c r="BH416" s="1033"/>
      <c r="BI416" s="1033"/>
      <c r="BJ416" s="1033"/>
      <c r="BK416" s="1033"/>
      <c r="BL416" s="1033"/>
      <c r="BM416" s="1033"/>
      <c r="BN416" s="1033"/>
      <c r="BO416" s="1033"/>
      <c r="BP416" s="1033"/>
      <c r="BQ416" s="1033"/>
      <c r="BR416" s="1033"/>
      <c r="BS416" s="1033"/>
      <c r="BT416" s="1033"/>
      <c r="BU416" s="1033"/>
      <c r="BV416" s="1033"/>
      <c r="BW416" s="1033"/>
      <c r="BX416" s="1033"/>
      <c r="BY416" s="1033"/>
      <c r="BZ416" s="1033"/>
      <c r="CA416" s="1033"/>
      <c r="CB416" s="1033"/>
      <c r="CC416" s="1033"/>
      <c r="CD416" s="1033"/>
      <c r="CE416" s="1033"/>
      <c r="CF416" s="1033"/>
      <c r="CG416" s="1033"/>
      <c r="CH416" s="1033"/>
      <c r="CI416" s="1033"/>
      <c r="CJ416" s="1033"/>
      <c r="CK416" s="1033"/>
      <c r="CL416" s="1033"/>
      <c r="CM416" s="1033"/>
      <c r="CN416" s="1033"/>
      <c r="CO416" s="1033"/>
      <c r="CP416" s="1033"/>
      <c r="CQ416" s="1033"/>
      <c r="CR416" s="1033"/>
      <c r="CS416" s="1033"/>
      <c r="CT416" s="1033"/>
      <c r="CU416" s="1033"/>
      <c r="CV416" s="1033"/>
      <c r="CW416" s="1033"/>
      <c r="CX416" s="1033"/>
      <c r="CY416" s="1033"/>
      <c r="CZ416" s="1033"/>
      <c r="DA416" s="1033"/>
      <c r="DB416" s="1033"/>
      <c r="DC416" s="1033"/>
      <c r="DD416" s="1033"/>
      <c r="DE416" s="1033"/>
      <c r="DF416" s="1033"/>
      <c r="DG416" s="1033"/>
      <c r="DH416" s="1033"/>
      <c r="DI416" s="1033"/>
      <c r="DJ416" s="1033"/>
      <c r="DK416" s="1033"/>
      <c r="DL416" s="1033"/>
      <c r="DM416" s="1033"/>
      <c r="DN416" s="1033"/>
      <c r="DO416" s="1033"/>
      <c r="DP416" s="1033"/>
      <c r="DQ416" s="1033"/>
      <c r="DR416" s="1033"/>
      <c r="DS416" s="1033"/>
      <c r="DT416" s="1033"/>
      <c r="DU416" s="1033"/>
      <c r="DV416" s="1033"/>
      <c r="DW416" s="1033"/>
      <c r="DX416" s="1033"/>
      <c r="DY416" s="1033"/>
      <c r="DZ416" s="1033"/>
      <c r="EA416" s="1033"/>
      <c r="EB416" s="1033"/>
      <c r="EC416" s="1033"/>
      <c r="ED416" s="1033"/>
      <c r="EE416" s="1033"/>
      <c r="EF416" s="1033"/>
      <c r="EG416" s="1033"/>
      <c r="EH416" s="1033"/>
      <c r="EI416" s="1033"/>
      <c r="EJ416" s="1033"/>
      <c r="EK416" s="1033"/>
      <c r="EL416" s="1033"/>
      <c r="EM416" s="1033"/>
      <c r="EN416" s="1033"/>
      <c r="EO416" s="1033"/>
      <c r="EP416" s="1033"/>
      <c r="EQ416" s="1033"/>
      <c r="ER416" s="1033"/>
      <c r="ES416" s="1033"/>
      <c r="ET416" s="1033"/>
      <c r="EU416" s="1033"/>
      <c r="EV416" s="1033"/>
      <c r="EW416" s="1033"/>
      <c r="EX416" s="1033"/>
      <c r="EY416" s="1033"/>
      <c r="EZ416" s="1033"/>
      <c r="FA416" s="1033"/>
      <c r="FB416" s="1033"/>
      <c r="FC416" s="1033"/>
      <c r="FD416" s="1033"/>
      <c r="FE416" s="1033"/>
      <c r="FF416" s="1033"/>
      <c r="FG416" s="1033"/>
      <c r="FH416" s="1033"/>
      <c r="FI416" s="1033"/>
      <c r="FJ416" s="1033"/>
      <c r="FK416" s="1033"/>
      <c r="FL416" s="1033"/>
      <c r="FM416" s="1033"/>
      <c r="FN416" s="1033"/>
      <c r="FO416" s="1033"/>
      <c r="FP416" s="1033"/>
      <c r="FQ416" s="1033"/>
      <c r="FR416" s="1033"/>
      <c r="FS416" s="1033"/>
      <c r="FT416" s="1033"/>
      <c r="FU416" s="1033"/>
      <c r="FV416" s="1033"/>
      <c r="FW416" s="1033"/>
      <c r="FX416" s="1033"/>
      <c r="FY416" s="1033"/>
      <c r="FZ416" s="1033"/>
      <c r="GA416" s="1033"/>
      <c r="GB416" s="1033"/>
      <c r="GC416" s="1033"/>
      <c r="GD416" s="1033"/>
      <c r="GE416" s="1033"/>
      <c r="GF416" s="1033"/>
      <c r="GG416" s="1033"/>
      <c r="GH416" s="1033"/>
      <c r="GI416" s="1033"/>
      <c r="GJ416" s="1033"/>
      <c r="GK416" s="1033"/>
      <c r="GL416" s="1033"/>
      <c r="GM416" s="1033"/>
      <c r="GN416" s="1033"/>
      <c r="GO416" s="1033"/>
      <c r="GP416" s="1033"/>
      <c r="GQ416" s="1033"/>
      <c r="GR416" s="1033"/>
      <c r="GS416" s="1033"/>
      <c r="GT416" s="1033"/>
      <c r="GU416" s="1033"/>
      <c r="GV416" s="1033"/>
      <c r="GW416" s="1033"/>
      <c r="GX416" s="1033"/>
      <c r="GY416" s="1033"/>
      <c r="GZ416" s="1033"/>
      <c r="HA416" s="1033"/>
      <c r="HB416" s="1033"/>
      <c r="HC416" s="1033"/>
      <c r="HD416" s="1033"/>
      <c r="HE416" s="1033"/>
      <c r="HF416" s="1033"/>
      <c r="HG416" s="1033"/>
      <c r="HH416" s="1033"/>
      <c r="HI416" s="1033"/>
      <c r="HJ416" s="1033"/>
      <c r="HK416" s="1033"/>
      <c r="HL416" s="1033"/>
      <c r="HM416" s="1033"/>
      <c r="HN416" s="1033"/>
      <c r="HO416" s="1033"/>
      <c r="HP416" s="1033"/>
      <c r="HQ416" s="1033"/>
      <c r="HR416" s="1033"/>
      <c r="HS416" s="1033"/>
      <c r="HT416" s="1033"/>
      <c r="HU416" s="1033"/>
      <c r="HV416" s="1033"/>
      <c r="HW416" s="1033"/>
      <c r="HX416" s="1033"/>
      <c r="HY416" s="1033"/>
      <c r="HZ416" s="1033"/>
      <c r="IA416" s="1033"/>
      <c r="IB416" s="1033"/>
      <c r="IC416" s="1033"/>
      <c r="ID416" s="1033"/>
      <c r="IE416" s="1033"/>
      <c r="IF416" s="1033"/>
      <c r="IG416" s="1033"/>
      <c r="IH416" s="1033"/>
      <c r="II416" s="1033"/>
      <c r="IJ416" s="1033"/>
      <c r="IK416" s="1033"/>
      <c r="IL416" s="1033"/>
      <c r="IM416" s="1033"/>
      <c r="IN416" s="1033"/>
      <c r="IO416" s="1033"/>
      <c r="IP416" s="1033"/>
      <c r="IQ416" s="1033"/>
      <c r="IR416" s="1033"/>
      <c r="IS416" s="1033"/>
      <c r="IT416" s="1033"/>
      <c r="IU416" s="1033"/>
      <c r="IV416" s="1033"/>
      <c r="IW416" s="1033"/>
      <c r="IX416" s="1033"/>
      <c r="IY416" s="1033"/>
      <c r="IZ416" s="1033"/>
      <c r="JA416" s="1033"/>
      <c r="JB416" s="1033"/>
      <c r="JC416" s="1033"/>
      <c r="JD416" s="1033"/>
      <c r="JE416" s="1033"/>
      <c r="JF416" s="1033"/>
      <c r="JG416" s="1033"/>
      <c r="JH416" s="1033"/>
      <c r="JI416" s="1033"/>
      <c r="JJ416" s="1033"/>
      <c r="JK416" s="1033"/>
      <c r="JL416" s="1033"/>
      <c r="JM416" s="1033"/>
      <c r="JN416" s="1033"/>
      <c r="JO416" s="1033"/>
      <c r="JP416" s="1033"/>
      <c r="JQ416" s="1033"/>
      <c r="JR416" s="1033"/>
      <c r="JS416" s="1033"/>
      <c r="JT416" s="1033"/>
      <c r="JU416" s="1033"/>
      <c r="JV416" s="1033"/>
      <c r="JW416" s="1033"/>
      <c r="JX416" s="1033"/>
      <c r="JY416" s="1033"/>
      <c r="JZ416" s="1033"/>
      <c r="KA416" s="1033"/>
      <c r="KB416" s="1033"/>
      <c r="KC416" s="1033"/>
      <c r="KD416" s="1033"/>
      <c r="KE416" s="1033"/>
      <c r="KF416" s="1033"/>
      <c r="KG416" s="1033"/>
      <c r="KH416" s="1033"/>
      <c r="KI416" s="1033"/>
      <c r="KJ416" s="1033"/>
      <c r="KK416" s="1033"/>
      <c r="KL416" s="1033"/>
      <c r="KM416" s="1033"/>
      <c r="KN416" s="1033"/>
      <c r="KO416" s="1033"/>
      <c r="KP416" s="1033"/>
      <c r="KQ416" s="1033"/>
      <c r="KR416" s="1033"/>
      <c r="KS416" s="1033"/>
      <c r="KT416" s="1033"/>
      <c r="KU416" s="1033"/>
      <c r="KV416" s="1033"/>
      <c r="KW416" s="1033"/>
      <c r="KX416" s="1033"/>
      <c r="KY416" s="1033"/>
      <c r="KZ416" s="1033"/>
      <c r="LA416" s="1033"/>
      <c r="LB416" s="1033"/>
      <c r="LC416" s="1033"/>
      <c r="LD416" s="1033"/>
      <c r="LE416" s="1033"/>
      <c r="LF416" s="1033"/>
      <c r="LG416" s="1033"/>
      <c r="LH416" s="1033"/>
      <c r="LI416" s="1033"/>
      <c r="LJ416" s="1033"/>
      <c r="LK416" s="1033"/>
      <c r="LL416" s="1033"/>
      <c r="LM416" s="1033"/>
      <c r="LN416" s="1033"/>
      <c r="LO416" s="1033"/>
      <c r="LP416" s="1033"/>
      <c r="LQ416" s="1033"/>
      <c r="LR416" s="1033"/>
      <c r="LS416" s="1033"/>
      <c r="LT416" s="1033"/>
      <c r="LU416" s="1033"/>
      <c r="LV416" s="1033"/>
      <c r="LW416" s="1033"/>
      <c r="LX416" s="1033"/>
      <c r="LY416" s="1033"/>
      <c r="LZ416" s="1033"/>
      <c r="MA416" s="1033"/>
      <c r="MB416" s="1033"/>
      <c r="MC416" s="1033"/>
      <c r="MD416" s="1033"/>
      <c r="ME416" s="1033"/>
      <c r="MF416" s="1033"/>
      <c r="MG416" s="1033"/>
      <c r="MH416" s="1033"/>
      <c r="MI416" s="1033"/>
      <c r="MJ416" s="1033"/>
      <c r="MK416" s="1033"/>
      <c r="ML416" s="1033"/>
      <c r="MM416" s="1033"/>
      <c r="MN416" s="1033"/>
      <c r="MO416" s="1033"/>
      <c r="MP416" s="1033"/>
      <c r="MQ416" s="1033"/>
      <c r="MR416" s="1033"/>
      <c r="MS416" s="1033"/>
      <c r="MT416" s="1033"/>
      <c r="MU416" s="1033"/>
      <c r="MV416" s="1033"/>
      <c r="MW416" s="1033"/>
      <c r="MX416" s="1033"/>
      <c r="MY416" s="1033"/>
      <c r="MZ416" s="1033"/>
      <c r="NA416" s="1033"/>
      <c r="NB416" s="1033"/>
      <c r="NC416" s="1033"/>
      <c r="ND416" s="1033"/>
      <c r="NE416" s="1033"/>
      <c r="NF416" s="1033"/>
      <c r="NG416" s="1033"/>
      <c r="NH416" s="1033"/>
      <c r="NI416" s="1033"/>
      <c r="NJ416" s="1033"/>
      <c r="NK416" s="1033"/>
      <c r="NL416" s="1033"/>
      <c r="NM416" s="1033"/>
      <c r="NN416" s="1033"/>
      <c r="NO416" s="1033"/>
      <c r="NP416" s="1033"/>
      <c r="NQ416" s="1033"/>
      <c r="NR416" s="1033"/>
      <c r="NS416" s="1033"/>
      <c r="NT416" s="1033"/>
      <c r="NU416" s="1033"/>
      <c r="NV416" s="1033"/>
      <c r="NW416" s="1033"/>
      <c r="NX416" s="1033"/>
      <c r="NY416" s="1033"/>
      <c r="NZ416" s="1033"/>
      <c r="OA416" s="1033"/>
      <c r="OB416" s="1033"/>
      <c r="OC416" s="1033"/>
      <c r="OD416" s="1033"/>
      <c r="OE416" s="1033"/>
      <c r="OF416" s="1033"/>
      <c r="OG416" s="1033"/>
      <c r="OH416" s="1033"/>
      <c r="OI416" s="1033"/>
      <c r="OJ416" s="1033"/>
      <c r="OK416" s="1033"/>
      <c r="OL416" s="1033"/>
      <c r="OM416" s="1033"/>
      <c r="ON416" s="1033"/>
      <c r="OO416" s="1033"/>
      <c r="OP416" s="1033"/>
      <c r="OQ416" s="1033"/>
      <c r="OR416" s="1033"/>
      <c r="OS416" s="1033"/>
      <c r="OT416" s="1033"/>
      <c r="OU416" s="1033"/>
      <c r="OV416" s="1033"/>
      <c r="OW416" s="1033"/>
      <c r="OX416" s="1033"/>
      <c r="OY416" s="1033"/>
      <c r="OZ416" s="1033"/>
      <c r="PA416" s="1033"/>
      <c r="PB416" s="1033"/>
      <c r="PC416" s="1033"/>
      <c r="PD416" s="1033"/>
      <c r="PE416" s="1033"/>
      <c r="PF416" s="1033"/>
      <c r="PG416" s="1033"/>
      <c r="PH416" s="1033"/>
      <c r="PI416" s="1033"/>
      <c r="PJ416" s="1033"/>
      <c r="PK416" s="1033"/>
      <c r="PL416" s="1033"/>
      <c r="PM416" s="1033"/>
      <c r="PN416" s="1033"/>
      <c r="PO416" s="1033"/>
      <c r="PP416" s="1033"/>
      <c r="PQ416" s="1033"/>
      <c r="PR416" s="1033"/>
      <c r="PS416" s="1033"/>
      <c r="PT416" s="1033"/>
      <c r="PU416" s="1033"/>
      <c r="PV416" s="1033"/>
      <c r="PW416" s="1033"/>
      <c r="PX416" s="1033"/>
      <c r="PY416" s="1033"/>
      <c r="PZ416" s="1033"/>
      <c r="QA416" s="1033"/>
      <c r="QB416" s="1033"/>
      <c r="QC416" s="1033"/>
      <c r="QD416" s="1033"/>
      <c r="QE416" s="1033"/>
      <c r="QF416" s="1033"/>
      <c r="QG416" s="1033"/>
      <c r="QH416" s="1033"/>
      <c r="QI416" s="1033"/>
      <c r="QJ416" s="1033"/>
      <c r="QK416" s="1033"/>
      <c r="QL416" s="1033"/>
      <c r="QM416" s="1033"/>
      <c r="QN416" s="1033"/>
      <c r="QO416" s="1033"/>
      <c r="QP416" s="1033"/>
      <c r="QQ416" s="1033"/>
      <c r="QR416" s="1033"/>
      <c r="QS416" s="1033"/>
      <c r="QT416" s="1033"/>
      <c r="QU416" s="1033"/>
      <c r="QV416" s="1033"/>
      <c r="QW416" s="1033"/>
      <c r="QX416" s="1033"/>
      <c r="QY416" s="1033"/>
      <c r="QZ416" s="1033"/>
      <c r="RA416" s="1033"/>
      <c r="RB416" s="1033"/>
      <c r="RC416" s="1033"/>
      <c r="RD416" s="1033"/>
      <c r="RE416" s="1033"/>
      <c r="RF416" s="1033"/>
      <c r="RG416" s="1033"/>
      <c r="RH416" s="1033"/>
      <c r="RI416" s="1033"/>
      <c r="RJ416" s="1033"/>
      <c r="RK416" s="1033"/>
      <c r="RL416" s="1033"/>
      <c r="RM416" s="1033"/>
      <c r="RN416" s="1033"/>
      <c r="RO416" s="1033"/>
      <c r="RP416" s="1033"/>
      <c r="RQ416" s="1033"/>
      <c r="RR416" s="1033"/>
      <c r="RS416" s="1033"/>
      <c r="RT416" s="1033"/>
      <c r="RU416" s="1033"/>
      <c r="RV416" s="1033"/>
      <c r="RW416" s="1033"/>
      <c r="RX416" s="1033"/>
      <c r="RY416" s="1033"/>
      <c r="RZ416" s="1033"/>
      <c r="SA416" s="1033"/>
      <c r="SB416" s="1033"/>
      <c r="SC416" s="1033"/>
      <c r="SD416" s="1033"/>
      <c r="SE416" s="1033"/>
      <c r="SF416" s="1033"/>
      <c r="SG416" s="1033"/>
      <c r="SH416" s="1033"/>
      <c r="SI416" s="1033"/>
      <c r="SJ416" s="1033"/>
      <c r="SK416" s="1033"/>
      <c r="SL416" s="1033"/>
      <c r="SM416" s="1033"/>
      <c r="SN416" s="1033"/>
      <c r="SO416" s="1033"/>
      <c r="SP416" s="1033"/>
      <c r="SQ416" s="1033"/>
      <c r="SR416" s="1033"/>
      <c r="SS416" s="1033"/>
      <c r="ST416" s="1033"/>
      <c r="SU416" s="1033"/>
      <c r="SV416" s="1033"/>
      <c r="SW416" s="1033"/>
      <c r="SX416" s="1033"/>
      <c r="SY416" s="1033"/>
      <c r="SZ416" s="1033"/>
      <c r="TA416" s="1033"/>
      <c r="TB416" s="1033"/>
      <c r="TC416" s="1033"/>
      <c r="TD416" s="1033"/>
      <c r="TE416" s="1033"/>
      <c r="TF416" s="1033"/>
      <c r="TG416" s="1033"/>
      <c r="TH416" s="1033"/>
      <c r="TI416" s="1033"/>
      <c r="TJ416" s="1033"/>
      <c r="TK416" s="1033"/>
      <c r="TL416" s="1033"/>
      <c r="TM416" s="1033"/>
      <c r="TN416" s="1033"/>
      <c r="TO416" s="1033"/>
      <c r="TP416" s="1033"/>
      <c r="TQ416" s="1033"/>
      <c r="TR416" s="1033"/>
      <c r="TS416" s="1033"/>
      <c r="TT416" s="1033"/>
      <c r="TU416" s="1033"/>
      <c r="TV416" s="1033"/>
      <c r="TW416" s="1033"/>
      <c r="TX416" s="1033"/>
      <c r="TY416" s="1033"/>
      <c r="TZ416" s="1033"/>
      <c r="UA416" s="1033"/>
      <c r="UB416" s="1033"/>
      <c r="UC416" s="1033"/>
      <c r="UD416" s="1033"/>
      <c r="UE416" s="1033"/>
      <c r="UF416" s="1033"/>
      <c r="UG416" s="1033"/>
      <c r="UH416" s="1033"/>
      <c r="UI416" s="1033"/>
      <c r="UJ416" s="1033"/>
      <c r="UK416" s="1033"/>
      <c r="UL416" s="1033"/>
      <c r="UM416" s="1033"/>
      <c r="UN416" s="1033"/>
      <c r="UO416" s="1033"/>
      <c r="UP416" s="1033"/>
      <c r="UQ416" s="1033"/>
      <c r="UR416" s="1033"/>
      <c r="US416" s="1033"/>
      <c r="UT416" s="1033"/>
      <c r="UU416" s="1033"/>
      <c r="UV416" s="1033"/>
      <c r="UW416" s="1033"/>
      <c r="UX416" s="1033"/>
      <c r="UY416" s="1033"/>
      <c r="UZ416" s="1033"/>
      <c r="VA416" s="1033"/>
      <c r="VB416" s="1033"/>
      <c r="VC416" s="1033"/>
      <c r="VD416" s="1033"/>
      <c r="VE416" s="1033"/>
      <c r="VF416" s="1033"/>
      <c r="VG416" s="1033"/>
      <c r="VH416" s="1033"/>
      <c r="VI416" s="1033"/>
      <c r="VJ416" s="1033"/>
      <c r="VK416" s="1033"/>
      <c r="VL416" s="1033"/>
      <c r="VM416" s="1033"/>
      <c r="VN416" s="1033"/>
      <c r="VO416" s="1033"/>
      <c r="VP416" s="1033"/>
      <c r="VQ416" s="1033"/>
      <c r="VR416" s="1033"/>
      <c r="VS416" s="1033"/>
      <c r="VT416" s="1033"/>
      <c r="VU416" s="1033"/>
      <c r="VV416" s="1033"/>
      <c r="VW416" s="1033"/>
      <c r="VX416" s="1033"/>
      <c r="VY416" s="1033"/>
      <c r="VZ416" s="1033"/>
      <c r="WA416" s="1033"/>
      <c r="WB416" s="1033"/>
      <c r="WC416" s="1033"/>
      <c r="WD416" s="1033"/>
      <c r="WE416" s="1033"/>
      <c r="WF416" s="1033"/>
      <c r="WG416" s="1033"/>
      <c r="WH416" s="1033"/>
      <c r="WI416" s="1033"/>
      <c r="WJ416" s="1033"/>
      <c r="WK416" s="1033"/>
      <c r="WL416" s="1033"/>
      <c r="WM416" s="1033"/>
      <c r="WN416" s="1033"/>
      <c r="WO416" s="1033"/>
      <c r="WP416" s="1033"/>
      <c r="WQ416" s="1033"/>
      <c r="WR416" s="1033"/>
      <c r="WS416" s="1033"/>
      <c r="WT416" s="1033"/>
      <c r="WU416" s="1033"/>
      <c r="WV416" s="1033"/>
      <c r="WW416" s="1033"/>
      <c r="WX416" s="1033"/>
      <c r="WY416" s="1033"/>
      <c r="WZ416" s="1033"/>
      <c r="XA416" s="1033"/>
      <c r="XB416" s="1033"/>
      <c r="XC416" s="1033"/>
      <c r="XD416" s="1033"/>
      <c r="XE416" s="1033"/>
      <c r="XF416" s="1033"/>
      <c r="XG416" s="1033"/>
      <c r="XH416" s="1033"/>
      <c r="XI416" s="1033"/>
      <c r="XJ416" s="1033"/>
      <c r="XK416" s="1033"/>
      <c r="XL416" s="1033"/>
      <c r="XM416" s="1033"/>
      <c r="XN416" s="1033"/>
      <c r="XO416" s="1033"/>
      <c r="XP416" s="1033"/>
      <c r="XQ416" s="1033"/>
      <c r="XR416" s="1033"/>
      <c r="XS416" s="1033"/>
      <c r="XT416" s="1033"/>
      <c r="XU416" s="1033"/>
      <c r="XV416" s="1033"/>
      <c r="XW416" s="1033"/>
      <c r="XX416" s="1033"/>
      <c r="XY416" s="1033"/>
      <c r="XZ416" s="1033"/>
      <c r="YA416" s="1033"/>
      <c r="YB416" s="1033"/>
      <c r="YC416" s="1033"/>
      <c r="YD416" s="1033"/>
      <c r="YE416" s="1033"/>
      <c r="YF416" s="1033"/>
      <c r="YG416" s="1033"/>
      <c r="YH416" s="1033"/>
      <c r="YI416" s="1033"/>
      <c r="YJ416" s="1033"/>
      <c r="YK416" s="1033"/>
      <c r="YL416" s="1033"/>
      <c r="YM416" s="1033"/>
      <c r="YN416" s="1033"/>
      <c r="YO416" s="1033"/>
      <c r="YP416" s="1033"/>
      <c r="YQ416" s="1033"/>
      <c r="YR416" s="1033"/>
      <c r="YS416" s="1033"/>
      <c r="YT416" s="1033"/>
      <c r="YU416" s="1033"/>
      <c r="YV416" s="1033"/>
      <c r="YW416" s="1033"/>
      <c r="YX416" s="1033"/>
      <c r="YY416" s="1033"/>
      <c r="YZ416" s="1033"/>
      <c r="ZA416" s="1033"/>
      <c r="ZB416" s="1033"/>
      <c r="ZC416" s="1033"/>
      <c r="ZD416" s="1033"/>
      <c r="ZE416" s="1033"/>
      <c r="ZF416" s="1033"/>
      <c r="ZG416" s="1033"/>
      <c r="ZH416" s="1033"/>
      <c r="ZI416" s="1033"/>
      <c r="ZJ416" s="1033"/>
      <c r="ZK416" s="1033"/>
      <c r="ZL416" s="1033"/>
      <c r="ZM416" s="1033"/>
      <c r="ZN416" s="1033"/>
      <c r="ZO416" s="1033"/>
      <c r="ZP416" s="1033"/>
      <c r="ZQ416" s="1033"/>
      <c r="ZR416" s="1033"/>
      <c r="ZS416" s="1033"/>
      <c r="ZT416" s="1033"/>
      <c r="ZU416" s="1033"/>
      <c r="ZV416" s="1033"/>
      <c r="ZW416" s="1033"/>
      <c r="ZX416" s="1033"/>
      <c r="ZY416" s="1033"/>
      <c r="ZZ416" s="1033"/>
      <c r="AAA416" s="1033"/>
      <c r="AAB416" s="1033"/>
      <c r="AAC416" s="1033"/>
      <c r="AAD416" s="1033"/>
      <c r="AAE416" s="1033"/>
      <c r="AAF416" s="1033"/>
      <c r="AAG416" s="1033"/>
      <c r="AAH416" s="1033"/>
      <c r="AAI416" s="1033"/>
      <c r="AAJ416" s="1033"/>
      <c r="AAK416" s="1033"/>
      <c r="AAL416" s="1033"/>
      <c r="AAM416" s="1033"/>
      <c r="AAN416" s="1033"/>
      <c r="AAO416" s="1033"/>
      <c r="AAP416" s="1033"/>
      <c r="AAQ416" s="1033"/>
      <c r="AAR416" s="1033"/>
      <c r="AAS416" s="1033"/>
      <c r="AAT416" s="1033"/>
      <c r="AAU416" s="1033"/>
      <c r="AAV416" s="1033"/>
      <c r="AAW416" s="1033"/>
      <c r="AAX416" s="1033"/>
      <c r="AAY416" s="1033"/>
      <c r="AAZ416" s="1033"/>
      <c r="ABA416" s="1033"/>
      <c r="ABB416" s="1033"/>
      <c r="ABC416" s="1033"/>
      <c r="ABD416" s="1033"/>
      <c r="ABE416" s="1033"/>
      <c r="ABF416" s="1033"/>
      <c r="ABG416" s="1033"/>
      <c r="ABH416" s="1033"/>
      <c r="ABI416" s="1033"/>
      <c r="ABJ416" s="1033"/>
      <c r="ABK416" s="1033"/>
      <c r="ABL416" s="1033"/>
      <c r="ABM416" s="1033"/>
      <c r="ABN416" s="1033"/>
      <c r="ABO416" s="1033"/>
      <c r="ABP416" s="1033"/>
      <c r="ABQ416" s="1033"/>
      <c r="ABR416" s="1033"/>
      <c r="ABS416" s="1033"/>
      <c r="ABT416" s="1033"/>
      <c r="ABU416" s="1033"/>
      <c r="ABV416" s="1033"/>
      <c r="ABW416" s="1033"/>
      <c r="ABX416" s="1033"/>
      <c r="ABY416" s="1033"/>
      <c r="ABZ416" s="1033"/>
      <c r="ACA416" s="1033"/>
      <c r="ACB416" s="1033"/>
      <c r="ACC416" s="1033"/>
      <c r="ACD416" s="1033"/>
      <c r="ACE416" s="1033"/>
      <c r="ACF416" s="1033"/>
      <c r="ACG416" s="1033"/>
      <c r="ACH416" s="1033"/>
      <c r="ACI416" s="1033"/>
      <c r="ACJ416" s="1033"/>
      <c r="ACK416" s="1033"/>
      <c r="ACL416" s="1033"/>
      <c r="ACM416" s="1033"/>
      <c r="ACN416" s="1033"/>
      <c r="ACO416" s="1033"/>
      <c r="ACP416" s="1033"/>
      <c r="ACQ416" s="1033"/>
      <c r="ACR416" s="1033"/>
      <c r="ACS416" s="1033"/>
      <c r="ACT416" s="1033"/>
      <c r="ACU416" s="1033"/>
      <c r="ACV416" s="1033"/>
      <c r="ACW416" s="1033"/>
      <c r="ACX416" s="1033"/>
      <c r="ACY416" s="1033"/>
      <c r="ACZ416" s="1033"/>
      <c r="ADA416" s="1033"/>
      <c r="ADB416" s="1033"/>
      <c r="ADC416" s="1033"/>
      <c r="ADD416" s="1033"/>
      <c r="ADE416" s="1033"/>
      <c r="ADF416" s="1033"/>
      <c r="ADG416" s="1033"/>
      <c r="ADH416" s="1033"/>
      <c r="ADI416" s="1033"/>
      <c r="ADJ416" s="1033"/>
      <c r="ADK416" s="1033"/>
      <c r="ADL416" s="1033"/>
      <c r="ADM416" s="1033"/>
      <c r="ADN416" s="1033"/>
      <c r="ADO416" s="1033"/>
      <c r="ADP416" s="1033"/>
      <c r="ADQ416" s="1033"/>
      <c r="ADR416" s="1033"/>
      <c r="ADS416" s="1033"/>
      <c r="ADT416" s="1033"/>
      <c r="ADU416" s="1033"/>
      <c r="ADV416" s="1033"/>
      <c r="ADW416" s="1033"/>
      <c r="ADX416" s="1033"/>
      <c r="ADY416" s="1033"/>
      <c r="ADZ416" s="1033"/>
      <c r="AEA416" s="1033"/>
      <c r="AEB416" s="1033"/>
      <c r="AEC416" s="1033"/>
      <c r="AED416" s="1033"/>
      <c r="AEE416" s="1033"/>
      <c r="AEF416" s="1033"/>
      <c r="AEG416" s="1033"/>
      <c r="AEH416" s="1033"/>
      <c r="AEI416" s="1033"/>
      <c r="AEJ416" s="1033"/>
      <c r="AEK416" s="1033"/>
      <c r="AEL416" s="1033"/>
      <c r="AEM416" s="1033"/>
      <c r="AEN416" s="1033"/>
      <c r="AEO416" s="1033"/>
      <c r="AEP416" s="1033"/>
      <c r="AEQ416" s="1033"/>
      <c r="AER416" s="1033"/>
      <c r="AES416" s="1033"/>
      <c r="AET416" s="1033"/>
      <c r="AEU416" s="1033"/>
      <c r="AEV416" s="1033"/>
      <c r="AEW416" s="1033"/>
      <c r="AEX416" s="1033"/>
      <c r="AEY416" s="1033"/>
      <c r="AEZ416" s="1033"/>
      <c r="AFA416" s="1033"/>
      <c r="AFB416" s="1033"/>
      <c r="AFC416" s="1033"/>
      <c r="AFD416" s="1033"/>
      <c r="AFE416" s="1033"/>
      <c r="AFF416" s="1033"/>
      <c r="AFG416" s="1033"/>
      <c r="AFH416" s="1033"/>
      <c r="AFI416" s="1033"/>
      <c r="AFJ416" s="1033"/>
      <c r="AFK416" s="1033"/>
      <c r="AFL416" s="1033"/>
      <c r="AFM416" s="1033"/>
      <c r="AFN416" s="1033"/>
      <c r="AFO416" s="1033"/>
      <c r="AFP416" s="1033"/>
      <c r="AFQ416" s="1033"/>
      <c r="AFR416" s="1033"/>
      <c r="AFS416" s="1033"/>
      <c r="AFT416" s="1033"/>
      <c r="AFU416" s="1033"/>
      <c r="AFV416" s="1033"/>
      <c r="AFW416" s="1033"/>
      <c r="AFX416" s="1033"/>
      <c r="AFY416" s="1033"/>
      <c r="AFZ416" s="1033"/>
      <c r="AGA416" s="1033"/>
      <c r="AGB416" s="1033"/>
      <c r="AGC416" s="1033"/>
      <c r="AGD416" s="1033"/>
      <c r="AGE416" s="1033"/>
      <c r="AGF416" s="1033"/>
      <c r="AGG416" s="1033"/>
      <c r="AGH416" s="1033"/>
      <c r="AGI416" s="1033"/>
      <c r="AGJ416" s="1033"/>
      <c r="AGK416" s="1033"/>
      <c r="AGL416" s="1033"/>
      <c r="AGM416" s="1033"/>
      <c r="AGN416" s="1033"/>
      <c r="AGO416" s="1033"/>
      <c r="AGP416" s="1033"/>
      <c r="AGQ416" s="1033"/>
      <c r="AGR416" s="1033"/>
      <c r="AGS416" s="1033"/>
      <c r="AGT416" s="1033"/>
      <c r="AGU416" s="1033"/>
      <c r="AGV416" s="1033"/>
      <c r="AGW416" s="1033"/>
      <c r="AGX416" s="1033"/>
      <c r="AGY416" s="1033"/>
      <c r="AGZ416" s="1033"/>
      <c r="AHA416" s="1033"/>
      <c r="AHB416" s="1033"/>
      <c r="AHC416" s="1033"/>
      <c r="AHD416" s="1033"/>
      <c r="AHE416" s="1033"/>
      <c r="AHF416" s="1033"/>
      <c r="AHG416" s="1033"/>
      <c r="AHH416" s="1033"/>
      <c r="AHI416" s="1033"/>
      <c r="AHJ416" s="1033"/>
      <c r="AHK416" s="1033"/>
      <c r="AHL416" s="1033"/>
      <c r="AHM416" s="1033"/>
      <c r="AHN416" s="1033"/>
      <c r="AHO416" s="1033"/>
      <c r="AHP416" s="1033"/>
      <c r="AHQ416" s="1033"/>
      <c r="AHR416" s="1033"/>
      <c r="AHS416" s="1033"/>
      <c r="AHT416" s="1033"/>
      <c r="AHU416" s="1033"/>
      <c r="AHV416" s="1033"/>
      <c r="AHW416" s="1033"/>
      <c r="AHX416" s="1033"/>
      <c r="AHY416" s="1033"/>
      <c r="AHZ416" s="1033"/>
      <c r="AIA416" s="1033"/>
      <c r="AIB416" s="1033"/>
      <c r="AIC416" s="1033"/>
      <c r="AID416" s="1033"/>
      <c r="AIE416" s="1033"/>
      <c r="AIF416" s="1033"/>
      <c r="AIG416" s="1033"/>
      <c r="AIH416" s="1033"/>
      <c r="AII416" s="1033"/>
      <c r="AIJ416" s="1033"/>
      <c r="AIK416" s="1033"/>
      <c r="AIL416" s="1033"/>
      <c r="AIM416" s="1033"/>
      <c r="AIN416" s="1033"/>
      <c r="AIO416" s="1033"/>
      <c r="AIP416" s="1033"/>
      <c r="AIQ416" s="1033"/>
      <c r="AIR416" s="1033"/>
      <c r="AIS416" s="1033"/>
      <c r="AIT416" s="1033"/>
      <c r="AIU416" s="1033"/>
      <c r="AIV416" s="1033"/>
      <c r="AIW416" s="1033"/>
      <c r="AIX416" s="1033"/>
      <c r="AIY416" s="1033"/>
      <c r="AIZ416" s="1033"/>
      <c r="AJA416" s="1033"/>
      <c r="AJB416" s="1033"/>
      <c r="AJC416" s="1033"/>
      <c r="AJD416" s="1033"/>
      <c r="AJE416" s="1033"/>
      <c r="AJF416" s="1033"/>
      <c r="AJG416" s="1033"/>
      <c r="AJH416" s="1033"/>
      <c r="AJI416" s="1033"/>
      <c r="AJJ416" s="1033"/>
      <c r="AJK416" s="1033"/>
      <c r="AJL416" s="1033"/>
      <c r="AJM416" s="1033"/>
      <c r="AJN416" s="1033"/>
      <c r="AJO416" s="1033"/>
      <c r="AJP416" s="1033"/>
      <c r="AJQ416" s="1033"/>
      <c r="AJR416" s="1033"/>
      <c r="AJS416" s="1033"/>
      <c r="AJT416" s="1033"/>
      <c r="AJU416" s="1033"/>
      <c r="AJV416" s="1033"/>
      <c r="AJW416" s="1033"/>
      <c r="AJX416" s="1033"/>
      <c r="AJY416" s="1033"/>
      <c r="AJZ416" s="1033"/>
      <c r="AKA416" s="1033"/>
      <c r="AKB416" s="1033"/>
      <c r="AKC416" s="1033"/>
      <c r="AKD416" s="1033"/>
      <c r="AKE416" s="1033"/>
      <c r="AKF416" s="1033"/>
      <c r="AKG416" s="1033"/>
      <c r="AKH416" s="1033"/>
      <c r="AKI416" s="1033"/>
      <c r="AKJ416" s="1033"/>
      <c r="AKK416" s="1033"/>
      <c r="AKL416" s="1033"/>
      <c r="AKM416" s="1033"/>
      <c r="AKN416" s="1033"/>
      <c r="AKO416" s="1033"/>
      <c r="AKP416" s="1033"/>
      <c r="AKQ416" s="1033"/>
      <c r="AKR416" s="1033"/>
      <c r="AKS416" s="1033"/>
      <c r="AKT416" s="1033"/>
      <c r="AKU416" s="1033"/>
      <c r="AKV416" s="1033"/>
      <c r="AKW416" s="1033"/>
      <c r="AKX416" s="1033"/>
      <c r="AKY416" s="1033"/>
      <c r="AKZ416" s="1033"/>
      <c r="ALA416" s="1033"/>
      <c r="ALB416" s="1033"/>
      <c r="ALC416" s="1033"/>
      <c r="ALD416" s="1033"/>
      <c r="ALE416" s="1033"/>
      <c r="ALF416" s="1033"/>
      <c r="ALG416" s="1033"/>
      <c r="ALH416" s="1033"/>
      <c r="ALI416" s="1033"/>
      <c r="ALJ416" s="1033"/>
      <c r="ALK416" s="1033"/>
      <c r="ALL416" s="1033"/>
      <c r="ALM416" s="1033"/>
      <c r="ALN416" s="1033"/>
      <c r="ALO416" s="1033"/>
      <c r="ALP416" s="1033"/>
      <c r="ALQ416" s="1033"/>
      <c r="ALR416" s="1033"/>
      <c r="ALS416" s="1033"/>
      <c r="ALT416" s="1033"/>
      <c r="ALU416" s="1033"/>
      <c r="ALV416" s="1033"/>
      <c r="ALW416" s="1033"/>
      <c r="ALX416" s="1033"/>
      <c r="ALY416" s="1033"/>
      <c r="ALZ416" s="1033"/>
      <c r="AMA416" s="1033"/>
      <c r="AMB416" s="1033"/>
      <c r="AMC416" s="1033"/>
      <c r="AMD416" s="1033"/>
      <c r="AME416" s="1033"/>
      <c r="AMF416" s="1033"/>
      <c r="AMG416" s="1033"/>
      <c r="AMH416" s="1033"/>
      <c r="AMI416" s="1033"/>
      <c r="AMJ416" s="1033"/>
      <c r="AMK416" s="1033"/>
      <c r="AML416" s="1033"/>
    </row>
    <row r="417" spans="1:1026" s="388" customFormat="1" ht="39" customHeight="1" outlineLevel="1">
      <c r="A417" s="885"/>
      <c r="B417" s="444" t="s">
        <v>1094</v>
      </c>
      <c r="C417" s="886" t="s">
        <v>1095</v>
      </c>
      <c r="D417" s="448" t="s">
        <v>1096</v>
      </c>
      <c r="E417" s="449" t="s">
        <v>60</v>
      </c>
      <c r="F417" s="992">
        <f>Plan1!D389</f>
        <v>18</v>
      </c>
      <c r="G417" s="925">
        <f t="shared" si="123"/>
        <v>84.04</v>
      </c>
      <c r="H417" s="889">
        <f t="shared" si="124"/>
        <v>1512.72</v>
      </c>
      <c r="I417" s="885"/>
      <c r="J417" s="915">
        <v>66.38</v>
      </c>
      <c r="K417" s="916">
        <f t="shared" si="109"/>
        <v>84.04</v>
      </c>
      <c r="L417" s="832"/>
      <c r="M417" s="832"/>
      <c r="N417" s="832"/>
      <c r="O417" s="832"/>
      <c r="P417" s="832"/>
      <c r="Q417" s="832"/>
      <c r="R417" s="832"/>
      <c r="S417" s="832"/>
      <c r="T417" s="832"/>
      <c r="U417" s="832"/>
      <c r="V417" s="832"/>
      <c r="W417" s="832"/>
      <c r="X417" s="832"/>
      <c r="Y417" s="832"/>
      <c r="Z417" s="832"/>
      <c r="AA417" s="832"/>
      <c r="AB417" s="832"/>
      <c r="AC417" s="832"/>
      <c r="AD417" s="832"/>
      <c r="AE417" s="832"/>
      <c r="AF417" s="832"/>
      <c r="AG417" s="832"/>
      <c r="AH417" s="832"/>
      <c r="AI417" s="832"/>
      <c r="AJ417" s="832"/>
      <c r="AK417" s="832"/>
      <c r="AL417" s="832"/>
      <c r="AM417" s="832"/>
      <c r="AN417" s="832"/>
      <c r="AO417" s="832"/>
      <c r="AP417" s="832"/>
      <c r="AQ417" s="832"/>
      <c r="AR417" s="832"/>
      <c r="AS417" s="832"/>
      <c r="AT417" s="832"/>
      <c r="AU417" s="832"/>
      <c r="AV417" s="832"/>
      <c r="AW417" s="832"/>
      <c r="AX417" s="832"/>
      <c r="AY417" s="832"/>
      <c r="AZ417" s="832"/>
      <c r="BA417" s="832"/>
      <c r="BB417" s="832"/>
      <c r="BC417" s="832"/>
      <c r="BD417" s="832"/>
      <c r="BE417" s="832"/>
      <c r="BF417" s="832"/>
      <c r="BG417" s="832"/>
      <c r="BH417" s="832"/>
      <c r="BI417" s="832"/>
      <c r="BJ417" s="832"/>
      <c r="BK417" s="832"/>
      <c r="BL417" s="832"/>
      <c r="BM417" s="832"/>
      <c r="BN417" s="832"/>
      <c r="BO417" s="832"/>
      <c r="BP417" s="832"/>
      <c r="BQ417" s="832"/>
      <c r="BR417" s="832"/>
      <c r="BS417" s="832"/>
      <c r="BT417" s="832"/>
      <c r="BU417" s="832"/>
      <c r="BV417" s="832"/>
      <c r="BW417" s="832"/>
      <c r="BX417" s="832"/>
      <c r="BY417" s="832"/>
      <c r="BZ417" s="832"/>
      <c r="CA417" s="832"/>
      <c r="CB417" s="832"/>
      <c r="CC417" s="832"/>
      <c r="CD417" s="832"/>
      <c r="CE417" s="832"/>
      <c r="CF417" s="832"/>
      <c r="CG417" s="832"/>
      <c r="CH417" s="832"/>
      <c r="CI417" s="832"/>
      <c r="CJ417" s="832"/>
      <c r="CK417" s="832"/>
      <c r="CL417" s="832"/>
      <c r="CM417" s="832"/>
      <c r="CN417" s="832"/>
      <c r="CO417" s="832"/>
      <c r="CP417" s="832"/>
      <c r="CQ417" s="832"/>
      <c r="CR417" s="832"/>
      <c r="CS417" s="832"/>
      <c r="CT417" s="832"/>
      <c r="CU417" s="832"/>
      <c r="CV417" s="832"/>
      <c r="CW417" s="832"/>
      <c r="CX417" s="832"/>
      <c r="CY417" s="832"/>
      <c r="CZ417" s="832"/>
      <c r="DA417" s="832"/>
      <c r="DB417" s="832"/>
      <c r="DC417" s="832"/>
      <c r="DD417" s="832"/>
      <c r="DE417" s="832"/>
      <c r="DF417" s="832"/>
      <c r="DG417" s="832"/>
      <c r="DH417" s="832"/>
      <c r="DI417" s="832"/>
      <c r="DJ417" s="832"/>
      <c r="DK417" s="832"/>
      <c r="DL417" s="832"/>
      <c r="DM417" s="832"/>
      <c r="DN417" s="832"/>
      <c r="DO417" s="832"/>
      <c r="DP417" s="832"/>
      <c r="DQ417" s="832"/>
      <c r="DR417" s="832"/>
      <c r="DS417" s="832"/>
      <c r="DT417" s="832"/>
      <c r="DU417" s="832"/>
      <c r="DV417" s="832"/>
      <c r="DW417" s="832"/>
      <c r="DX417" s="832"/>
      <c r="DY417" s="832"/>
      <c r="DZ417" s="832"/>
      <c r="EA417" s="832"/>
      <c r="EB417" s="832"/>
      <c r="EC417" s="832"/>
      <c r="ED417" s="832"/>
      <c r="EE417" s="832"/>
      <c r="EF417" s="832"/>
      <c r="EG417" s="832"/>
      <c r="EH417" s="832"/>
      <c r="EI417" s="832"/>
      <c r="EJ417" s="832"/>
      <c r="EK417" s="832"/>
      <c r="EL417" s="832"/>
      <c r="EM417" s="832"/>
      <c r="EN417" s="832"/>
      <c r="EO417" s="832"/>
      <c r="EP417" s="832"/>
      <c r="EQ417" s="832"/>
      <c r="ER417" s="832"/>
      <c r="ES417" s="832"/>
      <c r="ET417" s="832"/>
      <c r="EU417" s="832"/>
      <c r="EV417" s="832"/>
      <c r="EW417" s="832"/>
      <c r="EX417" s="832"/>
      <c r="EY417" s="832"/>
      <c r="EZ417" s="832"/>
      <c r="FA417" s="832"/>
      <c r="FB417" s="832"/>
      <c r="FC417" s="832"/>
      <c r="FD417" s="832"/>
      <c r="FE417" s="832"/>
      <c r="FF417" s="832"/>
      <c r="FG417" s="832"/>
      <c r="FH417" s="832"/>
      <c r="FI417" s="832"/>
      <c r="FJ417" s="832"/>
      <c r="FK417" s="832"/>
      <c r="FL417" s="832"/>
      <c r="FM417" s="832"/>
      <c r="FN417" s="832"/>
      <c r="FO417" s="832"/>
      <c r="FP417" s="832"/>
      <c r="FQ417" s="832"/>
      <c r="FR417" s="832"/>
      <c r="FS417" s="832"/>
      <c r="FT417" s="832"/>
      <c r="FU417" s="832"/>
      <c r="FV417" s="832"/>
      <c r="FW417" s="832"/>
      <c r="FX417" s="832"/>
      <c r="FY417" s="832"/>
      <c r="FZ417" s="832"/>
      <c r="GA417" s="832"/>
      <c r="GB417" s="832"/>
      <c r="GC417" s="832"/>
      <c r="GD417" s="832"/>
      <c r="GE417" s="832"/>
      <c r="GF417" s="832"/>
      <c r="GG417" s="832"/>
      <c r="GH417" s="832"/>
      <c r="GI417" s="832"/>
      <c r="GJ417" s="832"/>
      <c r="GK417" s="832"/>
      <c r="GL417" s="832"/>
      <c r="GM417" s="832"/>
      <c r="GN417" s="832"/>
      <c r="GO417" s="832"/>
      <c r="GP417" s="832"/>
      <c r="GQ417" s="832"/>
      <c r="GR417" s="832"/>
      <c r="GS417" s="832"/>
      <c r="GT417" s="832"/>
      <c r="GU417" s="832"/>
      <c r="GV417" s="832"/>
      <c r="GW417" s="832"/>
      <c r="GX417" s="832"/>
      <c r="GY417" s="832"/>
      <c r="GZ417" s="832"/>
      <c r="HA417" s="832"/>
      <c r="HB417" s="832"/>
      <c r="HC417" s="832"/>
      <c r="HD417" s="832"/>
      <c r="HE417" s="832"/>
      <c r="HF417" s="832"/>
      <c r="HG417" s="832"/>
      <c r="HH417" s="832"/>
      <c r="HI417" s="832"/>
      <c r="HJ417" s="832"/>
      <c r="HK417" s="832"/>
      <c r="HL417" s="832"/>
      <c r="HM417" s="832"/>
      <c r="HN417" s="832"/>
      <c r="HO417" s="832"/>
      <c r="HP417" s="832"/>
      <c r="HQ417" s="832"/>
      <c r="HR417" s="832"/>
      <c r="HS417" s="832"/>
      <c r="HT417" s="832"/>
      <c r="HU417" s="832"/>
      <c r="HV417" s="832"/>
      <c r="HW417" s="832"/>
      <c r="HX417" s="832"/>
      <c r="HY417" s="832"/>
      <c r="HZ417" s="832"/>
      <c r="IA417" s="832"/>
      <c r="IB417" s="832"/>
      <c r="IC417" s="832"/>
      <c r="ID417" s="832"/>
      <c r="IE417" s="832"/>
      <c r="IF417" s="832"/>
      <c r="IG417" s="832"/>
      <c r="IH417" s="832"/>
      <c r="II417" s="832"/>
      <c r="IJ417" s="832"/>
      <c r="IK417" s="832"/>
      <c r="IL417" s="832"/>
      <c r="IM417" s="832"/>
      <c r="IN417" s="832"/>
      <c r="IO417" s="832"/>
      <c r="IP417" s="832"/>
      <c r="IQ417" s="832"/>
      <c r="IR417" s="832"/>
      <c r="IS417" s="832"/>
      <c r="IT417" s="832"/>
      <c r="IU417" s="832"/>
      <c r="IV417" s="832"/>
      <c r="IW417" s="832"/>
      <c r="IX417" s="832"/>
      <c r="IY417" s="832"/>
      <c r="IZ417" s="832"/>
      <c r="JA417" s="832"/>
      <c r="JB417" s="832"/>
      <c r="JC417" s="832"/>
      <c r="JD417" s="832"/>
      <c r="JE417" s="832"/>
      <c r="JF417" s="832"/>
      <c r="JG417" s="832"/>
      <c r="JH417" s="832"/>
      <c r="JI417" s="832"/>
      <c r="JJ417" s="832"/>
      <c r="JK417" s="832"/>
      <c r="JL417" s="832"/>
      <c r="JM417" s="832"/>
      <c r="JN417" s="832"/>
      <c r="JO417" s="832"/>
      <c r="JP417" s="832"/>
      <c r="JQ417" s="832"/>
      <c r="JR417" s="832"/>
      <c r="JS417" s="832"/>
      <c r="JT417" s="832"/>
      <c r="JU417" s="832"/>
      <c r="JV417" s="832"/>
      <c r="JW417" s="832"/>
      <c r="JX417" s="832"/>
      <c r="JY417" s="832"/>
      <c r="JZ417" s="832"/>
      <c r="KA417" s="832"/>
      <c r="KB417" s="832"/>
      <c r="KC417" s="832"/>
      <c r="KD417" s="832"/>
      <c r="KE417" s="832"/>
      <c r="KF417" s="832"/>
      <c r="KG417" s="832"/>
      <c r="KH417" s="832"/>
      <c r="KI417" s="832"/>
      <c r="KJ417" s="832"/>
      <c r="KK417" s="832"/>
      <c r="KL417" s="832"/>
      <c r="KM417" s="832"/>
      <c r="KN417" s="832"/>
      <c r="KO417" s="832"/>
      <c r="KP417" s="832"/>
      <c r="KQ417" s="832"/>
      <c r="KR417" s="832"/>
      <c r="KS417" s="832"/>
      <c r="KT417" s="832"/>
      <c r="KU417" s="832"/>
      <c r="KV417" s="832"/>
      <c r="KW417" s="832"/>
      <c r="KX417" s="832"/>
      <c r="KY417" s="832"/>
      <c r="KZ417" s="832"/>
      <c r="LA417" s="832"/>
      <c r="LB417" s="832"/>
      <c r="LC417" s="832"/>
      <c r="LD417" s="832"/>
      <c r="LE417" s="832"/>
      <c r="LF417" s="832"/>
      <c r="LG417" s="832"/>
      <c r="LH417" s="832"/>
      <c r="LI417" s="832"/>
      <c r="LJ417" s="832"/>
      <c r="LK417" s="832"/>
      <c r="LL417" s="832"/>
      <c r="LM417" s="832"/>
      <c r="LN417" s="832"/>
      <c r="LO417" s="832"/>
      <c r="LP417" s="832"/>
      <c r="LQ417" s="832"/>
      <c r="LR417" s="832"/>
      <c r="LS417" s="832"/>
      <c r="LT417" s="832"/>
      <c r="LU417" s="832"/>
      <c r="LV417" s="832"/>
      <c r="LW417" s="832"/>
      <c r="LX417" s="832"/>
      <c r="LY417" s="832"/>
      <c r="LZ417" s="832"/>
      <c r="MA417" s="832"/>
      <c r="MB417" s="832"/>
      <c r="MC417" s="832"/>
      <c r="MD417" s="832"/>
      <c r="ME417" s="832"/>
      <c r="MF417" s="832"/>
      <c r="MG417" s="832"/>
      <c r="MH417" s="832"/>
      <c r="MI417" s="832"/>
      <c r="MJ417" s="832"/>
      <c r="MK417" s="832"/>
      <c r="ML417" s="832"/>
      <c r="MM417" s="832"/>
      <c r="MN417" s="832"/>
      <c r="MO417" s="832"/>
      <c r="MP417" s="832"/>
      <c r="MQ417" s="832"/>
      <c r="MR417" s="832"/>
      <c r="MS417" s="832"/>
      <c r="MT417" s="832"/>
      <c r="MU417" s="832"/>
      <c r="MV417" s="832"/>
      <c r="MW417" s="832"/>
      <c r="MX417" s="832"/>
      <c r="MY417" s="832"/>
      <c r="MZ417" s="832"/>
      <c r="NA417" s="832"/>
      <c r="NB417" s="832"/>
      <c r="NC417" s="832"/>
      <c r="ND417" s="832"/>
      <c r="NE417" s="832"/>
      <c r="NF417" s="832"/>
      <c r="NG417" s="832"/>
      <c r="NH417" s="832"/>
      <c r="NI417" s="832"/>
      <c r="NJ417" s="832"/>
      <c r="NK417" s="832"/>
      <c r="NL417" s="832"/>
      <c r="NM417" s="832"/>
      <c r="NN417" s="832"/>
      <c r="NO417" s="832"/>
      <c r="NP417" s="832"/>
      <c r="NQ417" s="832"/>
      <c r="NR417" s="832"/>
      <c r="NS417" s="832"/>
      <c r="NT417" s="832"/>
      <c r="NU417" s="832"/>
      <c r="NV417" s="832"/>
      <c r="NW417" s="832"/>
      <c r="NX417" s="832"/>
      <c r="NY417" s="832"/>
      <c r="NZ417" s="832"/>
      <c r="OA417" s="832"/>
      <c r="OB417" s="832"/>
      <c r="OC417" s="832"/>
      <c r="OD417" s="832"/>
      <c r="OE417" s="832"/>
      <c r="OF417" s="832"/>
      <c r="OG417" s="832"/>
      <c r="OH417" s="832"/>
      <c r="OI417" s="832"/>
      <c r="OJ417" s="832"/>
      <c r="OK417" s="832"/>
      <c r="OL417" s="832"/>
      <c r="OM417" s="832"/>
      <c r="ON417" s="832"/>
      <c r="OO417" s="832"/>
      <c r="OP417" s="832"/>
      <c r="OQ417" s="832"/>
      <c r="OR417" s="832"/>
      <c r="OS417" s="832"/>
      <c r="OT417" s="832"/>
      <c r="OU417" s="832"/>
      <c r="OV417" s="832"/>
      <c r="OW417" s="832"/>
      <c r="OX417" s="832"/>
      <c r="OY417" s="832"/>
      <c r="OZ417" s="832"/>
      <c r="PA417" s="832"/>
      <c r="PB417" s="832"/>
      <c r="PC417" s="832"/>
      <c r="PD417" s="832"/>
      <c r="PE417" s="832"/>
      <c r="PF417" s="832"/>
      <c r="PG417" s="832"/>
      <c r="PH417" s="832"/>
      <c r="PI417" s="832"/>
      <c r="PJ417" s="832"/>
      <c r="PK417" s="832"/>
      <c r="PL417" s="832"/>
      <c r="PM417" s="832"/>
      <c r="PN417" s="832"/>
      <c r="PO417" s="832"/>
      <c r="PP417" s="832"/>
      <c r="PQ417" s="832"/>
      <c r="PR417" s="832"/>
      <c r="PS417" s="832"/>
      <c r="PT417" s="832"/>
      <c r="PU417" s="832"/>
      <c r="PV417" s="832"/>
      <c r="PW417" s="832"/>
      <c r="PX417" s="832"/>
      <c r="PY417" s="832"/>
      <c r="PZ417" s="832"/>
      <c r="QA417" s="832"/>
      <c r="QB417" s="832"/>
      <c r="QC417" s="832"/>
      <c r="QD417" s="832"/>
      <c r="QE417" s="832"/>
      <c r="QF417" s="832"/>
      <c r="QG417" s="832"/>
      <c r="QH417" s="832"/>
      <c r="QI417" s="832"/>
      <c r="QJ417" s="832"/>
      <c r="QK417" s="832"/>
      <c r="QL417" s="832"/>
      <c r="QM417" s="832"/>
      <c r="QN417" s="832"/>
      <c r="QO417" s="832"/>
      <c r="QP417" s="832"/>
      <c r="QQ417" s="832"/>
      <c r="QR417" s="832"/>
      <c r="QS417" s="832"/>
      <c r="QT417" s="832"/>
      <c r="QU417" s="832"/>
      <c r="QV417" s="832"/>
      <c r="QW417" s="832"/>
      <c r="QX417" s="832"/>
      <c r="QY417" s="832"/>
      <c r="QZ417" s="832"/>
      <c r="RA417" s="832"/>
      <c r="RB417" s="832"/>
      <c r="RC417" s="832"/>
      <c r="RD417" s="832"/>
      <c r="RE417" s="832"/>
      <c r="RF417" s="832"/>
      <c r="RG417" s="832"/>
      <c r="RH417" s="832"/>
      <c r="RI417" s="832"/>
      <c r="RJ417" s="832"/>
      <c r="RK417" s="832"/>
      <c r="RL417" s="832"/>
      <c r="RM417" s="832"/>
      <c r="RN417" s="832"/>
      <c r="RO417" s="832"/>
      <c r="RP417" s="832"/>
      <c r="RQ417" s="832"/>
      <c r="RR417" s="832"/>
      <c r="RS417" s="832"/>
      <c r="RT417" s="832"/>
      <c r="RU417" s="832"/>
      <c r="RV417" s="832"/>
      <c r="RW417" s="832"/>
      <c r="RX417" s="832"/>
      <c r="RY417" s="832"/>
      <c r="RZ417" s="832"/>
      <c r="SA417" s="832"/>
      <c r="SB417" s="832"/>
      <c r="SC417" s="832"/>
      <c r="SD417" s="832"/>
      <c r="SE417" s="832"/>
      <c r="SF417" s="832"/>
      <c r="SG417" s="832"/>
      <c r="SH417" s="832"/>
      <c r="SI417" s="832"/>
      <c r="SJ417" s="832"/>
      <c r="SK417" s="832"/>
      <c r="SL417" s="832"/>
      <c r="SM417" s="832"/>
      <c r="SN417" s="832"/>
      <c r="SO417" s="832"/>
      <c r="SP417" s="832"/>
      <c r="SQ417" s="832"/>
      <c r="SR417" s="832"/>
      <c r="SS417" s="832"/>
      <c r="ST417" s="832"/>
      <c r="SU417" s="832"/>
      <c r="SV417" s="832"/>
      <c r="SW417" s="832"/>
      <c r="SX417" s="832"/>
      <c r="SY417" s="832"/>
      <c r="SZ417" s="832"/>
      <c r="TA417" s="832"/>
      <c r="TB417" s="832"/>
      <c r="TC417" s="832"/>
      <c r="TD417" s="832"/>
      <c r="TE417" s="832"/>
      <c r="TF417" s="832"/>
      <c r="TG417" s="832"/>
      <c r="TH417" s="832"/>
      <c r="TI417" s="832"/>
      <c r="TJ417" s="832"/>
      <c r="TK417" s="832"/>
      <c r="TL417" s="832"/>
      <c r="TM417" s="832"/>
      <c r="TN417" s="832"/>
      <c r="TO417" s="832"/>
      <c r="TP417" s="832"/>
      <c r="TQ417" s="832"/>
      <c r="TR417" s="832"/>
      <c r="TS417" s="832"/>
      <c r="TT417" s="832"/>
      <c r="TU417" s="832"/>
      <c r="TV417" s="832"/>
      <c r="TW417" s="832"/>
      <c r="TX417" s="832"/>
      <c r="TY417" s="832"/>
      <c r="TZ417" s="832"/>
      <c r="UA417" s="832"/>
      <c r="UB417" s="832"/>
      <c r="UC417" s="832"/>
      <c r="UD417" s="832"/>
      <c r="UE417" s="832"/>
      <c r="UF417" s="832"/>
      <c r="UG417" s="832"/>
      <c r="UH417" s="832"/>
      <c r="UI417" s="832"/>
      <c r="UJ417" s="832"/>
      <c r="UK417" s="832"/>
      <c r="UL417" s="832"/>
      <c r="UM417" s="832"/>
      <c r="UN417" s="832"/>
      <c r="UO417" s="832"/>
      <c r="UP417" s="832"/>
      <c r="UQ417" s="832"/>
      <c r="UR417" s="832"/>
      <c r="US417" s="832"/>
      <c r="UT417" s="832"/>
      <c r="UU417" s="832"/>
      <c r="UV417" s="832"/>
      <c r="UW417" s="832"/>
      <c r="UX417" s="832"/>
      <c r="UY417" s="832"/>
      <c r="UZ417" s="832"/>
      <c r="VA417" s="832"/>
      <c r="VB417" s="832"/>
      <c r="VC417" s="832"/>
      <c r="VD417" s="832"/>
      <c r="VE417" s="832"/>
      <c r="VF417" s="832"/>
      <c r="VG417" s="832"/>
      <c r="VH417" s="832"/>
      <c r="VI417" s="832"/>
      <c r="VJ417" s="832"/>
      <c r="VK417" s="832"/>
      <c r="VL417" s="832"/>
      <c r="VM417" s="832"/>
      <c r="VN417" s="832"/>
      <c r="VO417" s="832"/>
      <c r="VP417" s="832"/>
      <c r="VQ417" s="832"/>
      <c r="VR417" s="832"/>
      <c r="VS417" s="832"/>
      <c r="VT417" s="832"/>
      <c r="VU417" s="832"/>
      <c r="VV417" s="832"/>
      <c r="VW417" s="832"/>
      <c r="VX417" s="832"/>
      <c r="VY417" s="832"/>
      <c r="VZ417" s="832"/>
      <c r="WA417" s="832"/>
      <c r="WB417" s="832"/>
      <c r="WC417" s="832"/>
      <c r="WD417" s="832"/>
      <c r="WE417" s="832"/>
      <c r="WF417" s="832"/>
      <c r="WG417" s="832"/>
      <c r="WH417" s="832"/>
      <c r="WI417" s="832"/>
      <c r="WJ417" s="832"/>
      <c r="WK417" s="832"/>
      <c r="WL417" s="832"/>
      <c r="WM417" s="832"/>
      <c r="WN417" s="832"/>
      <c r="WO417" s="832"/>
      <c r="WP417" s="832"/>
      <c r="WQ417" s="832"/>
      <c r="WR417" s="832"/>
      <c r="WS417" s="832"/>
      <c r="WT417" s="832"/>
      <c r="WU417" s="832"/>
      <c r="WV417" s="832"/>
      <c r="WW417" s="832"/>
      <c r="WX417" s="832"/>
      <c r="WY417" s="832"/>
      <c r="WZ417" s="832"/>
      <c r="XA417" s="832"/>
      <c r="XB417" s="832"/>
      <c r="XC417" s="832"/>
      <c r="XD417" s="832"/>
      <c r="XE417" s="832"/>
      <c r="XF417" s="832"/>
      <c r="XG417" s="832"/>
      <c r="XH417" s="832"/>
      <c r="XI417" s="832"/>
      <c r="XJ417" s="832"/>
      <c r="XK417" s="832"/>
      <c r="XL417" s="832"/>
      <c r="XM417" s="832"/>
      <c r="XN417" s="832"/>
      <c r="XO417" s="832"/>
      <c r="XP417" s="832"/>
      <c r="XQ417" s="832"/>
      <c r="XR417" s="832"/>
      <c r="XS417" s="832"/>
      <c r="XT417" s="832"/>
      <c r="XU417" s="832"/>
      <c r="XV417" s="832"/>
      <c r="XW417" s="832"/>
      <c r="XX417" s="832"/>
      <c r="XY417" s="832"/>
      <c r="XZ417" s="832"/>
      <c r="YA417" s="832"/>
      <c r="YB417" s="832"/>
      <c r="YC417" s="832"/>
      <c r="YD417" s="832"/>
      <c r="YE417" s="832"/>
      <c r="YF417" s="832"/>
      <c r="YG417" s="832"/>
      <c r="YH417" s="832"/>
      <c r="YI417" s="832"/>
      <c r="YJ417" s="832"/>
      <c r="YK417" s="832"/>
      <c r="YL417" s="832"/>
      <c r="YM417" s="832"/>
      <c r="YN417" s="832"/>
      <c r="YO417" s="832"/>
      <c r="YP417" s="832"/>
      <c r="YQ417" s="832"/>
      <c r="YR417" s="832"/>
      <c r="YS417" s="832"/>
      <c r="YT417" s="832"/>
      <c r="YU417" s="832"/>
      <c r="YV417" s="832"/>
      <c r="YW417" s="832"/>
      <c r="YX417" s="832"/>
      <c r="YY417" s="832"/>
      <c r="YZ417" s="832"/>
      <c r="ZA417" s="832"/>
      <c r="ZB417" s="832"/>
      <c r="ZC417" s="832"/>
      <c r="ZD417" s="832"/>
      <c r="ZE417" s="832"/>
      <c r="ZF417" s="832"/>
      <c r="ZG417" s="832"/>
      <c r="ZH417" s="832"/>
      <c r="ZI417" s="832"/>
      <c r="ZJ417" s="832"/>
      <c r="ZK417" s="832"/>
      <c r="ZL417" s="832"/>
      <c r="ZM417" s="832"/>
      <c r="ZN417" s="832"/>
      <c r="ZO417" s="832"/>
      <c r="ZP417" s="832"/>
      <c r="ZQ417" s="832"/>
      <c r="ZR417" s="832"/>
      <c r="ZS417" s="832"/>
      <c r="ZT417" s="832"/>
      <c r="ZU417" s="832"/>
      <c r="ZV417" s="832"/>
      <c r="ZW417" s="832"/>
      <c r="ZX417" s="832"/>
      <c r="ZY417" s="832"/>
      <c r="ZZ417" s="832"/>
      <c r="AAA417" s="832"/>
      <c r="AAB417" s="832"/>
      <c r="AAC417" s="832"/>
      <c r="AAD417" s="832"/>
      <c r="AAE417" s="832"/>
      <c r="AAF417" s="832"/>
      <c r="AAG417" s="832"/>
      <c r="AAH417" s="832"/>
      <c r="AAI417" s="832"/>
      <c r="AAJ417" s="832"/>
      <c r="AAK417" s="832"/>
      <c r="AAL417" s="832"/>
      <c r="AAM417" s="832"/>
      <c r="AAN417" s="832"/>
      <c r="AAO417" s="832"/>
      <c r="AAP417" s="832"/>
      <c r="AAQ417" s="832"/>
      <c r="AAR417" s="832"/>
      <c r="AAS417" s="832"/>
      <c r="AAT417" s="832"/>
      <c r="AAU417" s="832"/>
      <c r="AAV417" s="832"/>
      <c r="AAW417" s="832"/>
      <c r="AAX417" s="832"/>
      <c r="AAY417" s="832"/>
      <c r="AAZ417" s="832"/>
      <c r="ABA417" s="832"/>
      <c r="ABB417" s="832"/>
      <c r="ABC417" s="832"/>
      <c r="ABD417" s="832"/>
      <c r="ABE417" s="832"/>
      <c r="ABF417" s="832"/>
      <c r="ABG417" s="832"/>
      <c r="ABH417" s="832"/>
      <c r="ABI417" s="832"/>
      <c r="ABJ417" s="832"/>
      <c r="ABK417" s="832"/>
      <c r="ABL417" s="832"/>
      <c r="ABM417" s="832"/>
      <c r="ABN417" s="832"/>
      <c r="ABO417" s="832"/>
      <c r="ABP417" s="832"/>
      <c r="ABQ417" s="832"/>
      <c r="ABR417" s="832"/>
      <c r="ABS417" s="832"/>
      <c r="ABT417" s="832"/>
      <c r="ABU417" s="832"/>
      <c r="ABV417" s="832"/>
      <c r="ABW417" s="832"/>
      <c r="ABX417" s="832"/>
      <c r="ABY417" s="832"/>
      <c r="ABZ417" s="832"/>
      <c r="ACA417" s="832"/>
      <c r="ACB417" s="832"/>
      <c r="ACC417" s="832"/>
      <c r="ACD417" s="832"/>
      <c r="ACE417" s="832"/>
      <c r="ACF417" s="832"/>
      <c r="ACG417" s="832"/>
      <c r="ACH417" s="832"/>
      <c r="ACI417" s="832"/>
      <c r="ACJ417" s="832"/>
      <c r="ACK417" s="832"/>
      <c r="ACL417" s="832"/>
      <c r="ACM417" s="832"/>
      <c r="ACN417" s="832"/>
      <c r="ACO417" s="832"/>
      <c r="ACP417" s="832"/>
      <c r="ACQ417" s="832"/>
      <c r="ACR417" s="832"/>
      <c r="ACS417" s="832"/>
      <c r="ACT417" s="832"/>
      <c r="ACU417" s="832"/>
      <c r="ACV417" s="832"/>
      <c r="ACW417" s="832"/>
      <c r="ACX417" s="832"/>
      <c r="ACY417" s="832"/>
      <c r="ACZ417" s="832"/>
      <c r="ADA417" s="832"/>
      <c r="ADB417" s="832"/>
      <c r="ADC417" s="832"/>
      <c r="ADD417" s="832"/>
      <c r="ADE417" s="832"/>
      <c r="ADF417" s="832"/>
      <c r="ADG417" s="832"/>
      <c r="ADH417" s="832"/>
      <c r="ADI417" s="832"/>
      <c r="ADJ417" s="832"/>
      <c r="ADK417" s="832"/>
      <c r="ADL417" s="832"/>
      <c r="ADM417" s="832"/>
      <c r="ADN417" s="832"/>
      <c r="ADO417" s="832"/>
      <c r="ADP417" s="832"/>
      <c r="ADQ417" s="832"/>
      <c r="ADR417" s="832"/>
      <c r="ADS417" s="832"/>
      <c r="ADT417" s="832"/>
      <c r="ADU417" s="832"/>
      <c r="ADV417" s="832"/>
      <c r="ADW417" s="832"/>
      <c r="ADX417" s="832"/>
      <c r="ADY417" s="832"/>
      <c r="ADZ417" s="832"/>
      <c r="AEA417" s="832"/>
      <c r="AEB417" s="832"/>
      <c r="AEC417" s="832"/>
      <c r="AED417" s="832"/>
      <c r="AEE417" s="832"/>
      <c r="AEF417" s="832"/>
      <c r="AEG417" s="832"/>
      <c r="AEH417" s="832"/>
      <c r="AEI417" s="832"/>
      <c r="AEJ417" s="832"/>
      <c r="AEK417" s="832"/>
      <c r="AEL417" s="832"/>
      <c r="AEM417" s="832"/>
      <c r="AEN417" s="832"/>
      <c r="AEO417" s="832"/>
      <c r="AEP417" s="832"/>
      <c r="AEQ417" s="832"/>
      <c r="AER417" s="832"/>
      <c r="AES417" s="832"/>
      <c r="AET417" s="832"/>
      <c r="AEU417" s="832"/>
      <c r="AEV417" s="832"/>
      <c r="AEW417" s="832"/>
      <c r="AEX417" s="832"/>
      <c r="AEY417" s="832"/>
      <c r="AEZ417" s="832"/>
      <c r="AFA417" s="832"/>
      <c r="AFB417" s="832"/>
      <c r="AFC417" s="832"/>
      <c r="AFD417" s="832"/>
      <c r="AFE417" s="832"/>
      <c r="AFF417" s="832"/>
      <c r="AFG417" s="832"/>
      <c r="AFH417" s="832"/>
      <c r="AFI417" s="832"/>
      <c r="AFJ417" s="832"/>
      <c r="AFK417" s="832"/>
      <c r="AFL417" s="832"/>
      <c r="AFM417" s="832"/>
      <c r="AFN417" s="832"/>
      <c r="AFO417" s="832"/>
      <c r="AFP417" s="832"/>
      <c r="AFQ417" s="832"/>
      <c r="AFR417" s="832"/>
      <c r="AFS417" s="832"/>
      <c r="AFT417" s="832"/>
      <c r="AFU417" s="832"/>
      <c r="AFV417" s="832"/>
      <c r="AFW417" s="832"/>
      <c r="AFX417" s="832"/>
      <c r="AFY417" s="832"/>
      <c r="AFZ417" s="832"/>
      <c r="AGA417" s="832"/>
      <c r="AGB417" s="832"/>
      <c r="AGC417" s="832"/>
      <c r="AGD417" s="832"/>
      <c r="AGE417" s="832"/>
      <c r="AGF417" s="832"/>
      <c r="AGG417" s="832"/>
      <c r="AGH417" s="832"/>
      <c r="AGI417" s="832"/>
      <c r="AGJ417" s="832"/>
      <c r="AGK417" s="832"/>
      <c r="AGL417" s="832"/>
      <c r="AGM417" s="832"/>
      <c r="AGN417" s="832"/>
      <c r="AGO417" s="832"/>
      <c r="AGP417" s="832"/>
      <c r="AGQ417" s="832"/>
      <c r="AGR417" s="832"/>
      <c r="AGS417" s="832"/>
      <c r="AGT417" s="832"/>
      <c r="AGU417" s="832"/>
      <c r="AGV417" s="832"/>
      <c r="AGW417" s="832"/>
      <c r="AGX417" s="832"/>
      <c r="AGY417" s="832"/>
      <c r="AGZ417" s="832"/>
      <c r="AHA417" s="832"/>
      <c r="AHB417" s="832"/>
      <c r="AHC417" s="832"/>
      <c r="AHD417" s="832"/>
      <c r="AHE417" s="832"/>
      <c r="AHF417" s="832"/>
      <c r="AHG417" s="832"/>
      <c r="AHH417" s="832"/>
      <c r="AHI417" s="832"/>
      <c r="AHJ417" s="832"/>
      <c r="AHK417" s="832"/>
      <c r="AHL417" s="832"/>
      <c r="AHM417" s="832"/>
      <c r="AHN417" s="832"/>
      <c r="AHO417" s="832"/>
      <c r="AHP417" s="832"/>
      <c r="AHQ417" s="832"/>
      <c r="AHR417" s="832"/>
      <c r="AHS417" s="832"/>
      <c r="AHT417" s="832"/>
      <c r="AHU417" s="832"/>
      <c r="AHV417" s="832"/>
      <c r="AHW417" s="832"/>
      <c r="AHX417" s="832"/>
      <c r="AHY417" s="832"/>
      <c r="AHZ417" s="832"/>
      <c r="AIA417" s="832"/>
      <c r="AIB417" s="832"/>
      <c r="AIC417" s="832"/>
      <c r="AID417" s="832"/>
      <c r="AIE417" s="832"/>
      <c r="AIF417" s="832"/>
      <c r="AIG417" s="832"/>
      <c r="AIH417" s="832"/>
      <c r="AII417" s="832"/>
      <c r="AIJ417" s="832"/>
      <c r="AIK417" s="832"/>
      <c r="AIL417" s="832"/>
      <c r="AIM417" s="832"/>
      <c r="AIN417" s="832"/>
      <c r="AIO417" s="832"/>
      <c r="AIP417" s="832"/>
      <c r="AIQ417" s="832"/>
      <c r="AIR417" s="832"/>
      <c r="AIS417" s="832"/>
      <c r="AIT417" s="832"/>
      <c r="AIU417" s="832"/>
      <c r="AIV417" s="832"/>
      <c r="AIW417" s="832"/>
      <c r="AIX417" s="832"/>
      <c r="AIY417" s="832"/>
      <c r="AIZ417" s="832"/>
      <c r="AJA417" s="832"/>
      <c r="AJB417" s="832"/>
      <c r="AJC417" s="832"/>
      <c r="AJD417" s="832"/>
      <c r="AJE417" s="832"/>
      <c r="AJF417" s="832"/>
      <c r="AJG417" s="832"/>
      <c r="AJH417" s="832"/>
      <c r="AJI417" s="832"/>
      <c r="AJJ417" s="832"/>
      <c r="AJK417" s="832"/>
      <c r="AJL417" s="832"/>
      <c r="AJM417" s="832"/>
      <c r="AJN417" s="832"/>
      <c r="AJO417" s="832"/>
      <c r="AJP417" s="832"/>
      <c r="AJQ417" s="832"/>
      <c r="AJR417" s="832"/>
      <c r="AJS417" s="832"/>
      <c r="AJT417" s="832"/>
      <c r="AJU417" s="832"/>
      <c r="AJV417" s="832"/>
      <c r="AJW417" s="832"/>
      <c r="AJX417" s="832"/>
      <c r="AJY417" s="832"/>
      <c r="AJZ417" s="832"/>
      <c r="AKA417" s="832"/>
      <c r="AKB417" s="832"/>
      <c r="AKC417" s="832"/>
      <c r="AKD417" s="832"/>
      <c r="AKE417" s="832"/>
      <c r="AKF417" s="832"/>
      <c r="AKG417" s="832"/>
      <c r="AKH417" s="832"/>
      <c r="AKI417" s="832"/>
      <c r="AKJ417" s="832"/>
      <c r="AKK417" s="832"/>
      <c r="AKL417" s="832"/>
      <c r="AKM417" s="832"/>
      <c r="AKN417" s="832"/>
      <c r="AKO417" s="832"/>
      <c r="AKP417" s="832"/>
      <c r="AKQ417" s="832"/>
      <c r="AKR417" s="832"/>
      <c r="AKS417" s="832"/>
      <c r="AKT417" s="832"/>
      <c r="AKU417" s="832"/>
      <c r="AKV417" s="832"/>
      <c r="AKW417" s="832"/>
      <c r="AKX417" s="832"/>
      <c r="AKY417" s="832"/>
      <c r="AKZ417" s="832"/>
      <c r="ALA417" s="832"/>
      <c r="ALB417" s="832"/>
      <c r="ALC417" s="832"/>
      <c r="ALD417" s="832"/>
      <c r="ALE417" s="832"/>
      <c r="ALF417" s="832"/>
      <c r="ALG417" s="832"/>
      <c r="ALH417" s="832"/>
      <c r="ALI417" s="832"/>
      <c r="ALJ417" s="832"/>
      <c r="ALK417" s="832"/>
      <c r="ALL417" s="832"/>
      <c r="ALM417" s="832"/>
      <c r="ALN417" s="832"/>
      <c r="ALO417" s="832"/>
      <c r="ALP417" s="832"/>
      <c r="ALQ417" s="832"/>
      <c r="ALR417" s="832"/>
      <c r="ALS417" s="832"/>
      <c r="ALT417" s="832"/>
      <c r="ALU417" s="832"/>
      <c r="ALV417" s="832"/>
      <c r="ALW417" s="832"/>
      <c r="ALX417" s="832"/>
      <c r="ALY417" s="832"/>
      <c r="ALZ417" s="832"/>
      <c r="AMA417" s="832"/>
      <c r="AMB417" s="832"/>
      <c r="AMC417" s="832"/>
      <c r="AMD417" s="832"/>
      <c r="AME417" s="832"/>
      <c r="AMF417" s="832"/>
      <c r="AMG417" s="832"/>
      <c r="AMH417" s="832"/>
      <c r="AMI417" s="832"/>
      <c r="AMJ417" s="832"/>
      <c r="AMK417" s="832"/>
      <c r="AML417" s="832"/>
    </row>
    <row r="418" spans="1:1026" s="388" customFormat="1" ht="53.25" customHeight="1" outlineLevel="1">
      <c r="A418" s="885"/>
      <c r="B418" s="444" t="s">
        <v>1097</v>
      </c>
      <c r="C418" s="886" t="s">
        <v>1098</v>
      </c>
      <c r="D418" s="448" t="s">
        <v>1099</v>
      </c>
      <c r="E418" s="449" t="s">
        <v>60</v>
      </c>
      <c r="F418" s="992">
        <f>Plan1!D390</f>
        <v>17</v>
      </c>
      <c r="G418" s="925">
        <f t="shared" si="123"/>
        <v>129.41999999999999</v>
      </c>
      <c r="H418" s="889">
        <f t="shared" si="124"/>
        <v>2200.14</v>
      </c>
      <c r="I418" s="885"/>
      <c r="J418" s="915">
        <v>102.22</v>
      </c>
      <c r="K418" s="916">
        <f t="shared" si="109"/>
        <v>129.41999999999999</v>
      </c>
      <c r="L418" s="832"/>
      <c r="M418" s="832"/>
      <c r="N418" s="832"/>
      <c r="O418" s="832"/>
      <c r="P418" s="832"/>
      <c r="Q418" s="832"/>
      <c r="R418" s="832"/>
      <c r="S418" s="832"/>
      <c r="T418" s="832"/>
      <c r="U418" s="832"/>
      <c r="V418" s="832"/>
      <c r="W418" s="832"/>
      <c r="X418" s="832"/>
      <c r="Y418" s="832"/>
      <c r="Z418" s="832"/>
      <c r="AA418" s="832"/>
      <c r="AB418" s="832"/>
      <c r="AC418" s="832"/>
      <c r="AD418" s="832"/>
      <c r="AE418" s="832"/>
      <c r="AF418" s="832"/>
      <c r="AG418" s="832"/>
      <c r="AH418" s="832"/>
      <c r="AI418" s="832"/>
      <c r="AJ418" s="832"/>
      <c r="AK418" s="832"/>
      <c r="AL418" s="832"/>
      <c r="AM418" s="832"/>
      <c r="AN418" s="832"/>
      <c r="AO418" s="832"/>
      <c r="AP418" s="832"/>
      <c r="AQ418" s="832"/>
      <c r="AR418" s="832"/>
      <c r="AS418" s="832"/>
      <c r="AT418" s="832"/>
      <c r="AU418" s="832"/>
      <c r="AV418" s="832"/>
      <c r="AW418" s="832"/>
      <c r="AX418" s="832"/>
      <c r="AY418" s="832"/>
      <c r="AZ418" s="832"/>
      <c r="BA418" s="832"/>
      <c r="BB418" s="832"/>
      <c r="BC418" s="832"/>
      <c r="BD418" s="832"/>
      <c r="BE418" s="832"/>
      <c r="BF418" s="832"/>
      <c r="BG418" s="832"/>
      <c r="BH418" s="832"/>
      <c r="BI418" s="832"/>
      <c r="BJ418" s="832"/>
      <c r="BK418" s="832"/>
      <c r="BL418" s="832"/>
      <c r="BM418" s="832"/>
      <c r="BN418" s="832"/>
      <c r="BO418" s="832"/>
      <c r="BP418" s="832"/>
      <c r="BQ418" s="832"/>
      <c r="BR418" s="832"/>
      <c r="BS418" s="832"/>
      <c r="BT418" s="832"/>
      <c r="BU418" s="832"/>
      <c r="BV418" s="832"/>
      <c r="BW418" s="832"/>
      <c r="BX418" s="832"/>
      <c r="BY418" s="832"/>
      <c r="BZ418" s="832"/>
      <c r="CA418" s="832"/>
      <c r="CB418" s="832"/>
      <c r="CC418" s="832"/>
      <c r="CD418" s="832"/>
      <c r="CE418" s="832"/>
      <c r="CF418" s="832"/>
      <c r="CG418" s="832"/>
      <c r="CH418" s="832"/>
      <c r="CI418" s="832"/>
      <c r="CJ418" s="832"/>
      <c r="CK418" s="832"/>
      <c r="CL418" s="832"/>
      <c r="CM418" s="832"/>
      <c r="CN418" s="832"/>
      <c r="CO418" s="832"/>
      <c r="CP418" s="832"/>
      <c r="CQ418" s="832"/>
      <c r="CR418" s="832"/>
      <c r="CS418" s="832"/>
      <c r="CT418" s="832"/>
      <c r="CU418" s="832"/>
      <c r="CV418" s="832"/>
      <c r="CW418" s="832"/>
      <c r="CX418" s="832"/>
      <c r="CY418" s="832"/>
      <c r="CZ418" s="832"/>
      <c r="DA418" s="832"/>
      <c r="DB418" s="832"/>
      <c r="DC418" s="832"/>
      <c r="DD418" s="832"/>
      <c r="DE418" s="832"/>
      <c r="DF418" s="832"/>
      <c r="DG418" s="832"/>
      <c r="DH418" s="832"/>
      <c r="DI418" s="832"/>
      <c r="DJ418" s="832"/>
      <c r="DK418" s="832"/>
      <c r="DL418" s="832"/>
      <c r="DM418" s="832"/>
      <c r="DN418" s="832"/>
      <c r="DO418" s="832"/>
      <c r="DP418" s="832"/>
      <c r="DQ418" s="832"/>
      <c r="DR418" s="832"/>
      <c r="DS418" s="832"/>
      <c r="DT418" s="832"/>
      <c r="DU418" s="832"/>
      <c r="DV418" s="832"/>
      <c r="DW418" s="832"/>
      <c r="DX418" s="832"/>
      <c r="DY418" s="832"/>
      <c r="DZ418" s="832"/>
      <c r="EA418" s="832"/>
      <c r="EB418" s="832"/>
      <c r="EC418" s="832"/>
      <c r="ED418" s="832"/>
      <c r="EE418" s="832"/>
      <c r="EF418" s="832"/>
      <c r="EG418" s="832"/>
      <c r="EH418" s="832"/>
      <c r="EI418" s="832"/>
      <c r="EJ418" s="832"/>
      <c r="EK418" s="832"/>
      <c r="EL418" s="832"/>
      <c r="EM418" s="832"/>
      <c r="EN418" s="832"/>
      <c r="EO418" s="832"/>
      <c r="EP418" s="832"/>
      <c r="EQ418" s="832"/>
      <c r="ER418" s="832"/>
      <c r="ES418" s="832"/>
      <c r="ET418" s="832"/>
      <c r="EU418" s="832"/>
      <c r="EV418" s="832"/>
      <c r="EW418" s="832"/>
      <c r="EX418" s="832"/>
      <c r="EY418" s="832"/>
      <c r="EZ418" s="832"/>
      <c r="FA418" s="832"/>
      <c r="FB418" s="832"/>
      <c r="FC418" s="832"/>
      <c r="FD418" s="832"/>
      <c r="FE418" s="832"/>
      <c r="FF418" s="832"/>
      <c r="FG418" s="832"/>
      <c r="FH418" s="832"/>
      <c r="FI418" s="832"/>
      <c r="FJ418" s="832"/>
      <c r="FK418" s="832"/>
      <c r="FL418" s="832"/>
      <c r="FM418" s="832"/>
      <c r="FN418" s="832"/>
      <c r="FO418" s="832"/>
      <c r="FP418" s="832"/>
      <c r="FQ418" s="832"/>
      <c r="FR418" s="832"/>
      <c r="FS418" s="832"/>
      <c r="FT418" s="832"/>
      <c r="FU418" s="832"/>
      <c r="FV418" s="832"/>
      <c r="FW418" s="832"/>
      <c r="FX418" s="832"/>
      <c r="FY418" s="832"/>
      <c r="FZ418" s="832"/>
      <c r="GA418" s="832"/>
      <c r="GB418" s="832"/>
      <c r="GC418" s="832"/>
      <c r="GD418" s="832"/>
      <c r="GE418" s="832"/>
      <c r="GF418" s="832"/>
      <c r="GG418" s="832"/>
      <c r="GH418" s="832"/>
      <c r="GI418" s="832"/>
      <c r="GJ418" s="832"/>
      <c r="GK418" s="832"/>
      <c r="GL418" s="832"/>
      <c r="GM418" s="832"/>
      <c r="GN418" s="832"/>
      <c r="GO418" s="832"/>
      <c r="GP418" s="832"/>
      <c r="GQ418" s="832"/>
      <c r="GR418" s="832"/>
      <c r="GS418" s="832"/>
      <c r="GT418" s="832"/>
      <c r="GU418" s="832"/>
      <c r="GV418" s="832"/>
      <c r="GW418" s="832"/>
      <c r="GX418" s="832"/>
      <c r="GY418" s="832"/>
      <c r="GZ418" s="832"/>
      <c r="HA418" s="832"/>
      <c r="HB418" s="832"/>
      <c r="HC418" s="832"/>
      <c r="HD418" s="832"/>
      <c r="HE418" s="832"/>
      <c r="HF418" s="832"/>
      <c r="HG418" s="832"/>
      <c r="HH418" s="832"/>
      <c r="HI418" s="832"/>
      <c r="HJ418" s="832"/>
      <c r="HK418" s="832"/>
      <c r="HL418" s="832"/>
      <c r="HM418" s="832"/>
      <c r="HN418" s="832"/>
      <c r="HO418" s="832"/>
      <c r="HP418" s="832"/>
      <c r="HQ418" s="832"/>
      <c r="HR418" s="832"/>
      <c r="HS418" s="832"/>
      <c r="HT418" s="832"/>
      <c r="HU418" s="832"/>
      <c r="HV418" s="832"/>
      <c r="HW418" s="832"/>
      <c r="HX418" s="832"/>
      <c r="HY418" s="832"/>
      <c r="HZ418" s="832"/>
      <c r="IA418" s="832"/>
      <c r="IB418" s="832"/>
      <c r="IC418" s="832"/>
      <c r="ID418" s="832"/>
      <c r="IE418" s="832"/>
      <c r="IF418" s="832"/>
      <c r="IG418" s="832"/>
      <c r="IH418" s="832"/>
      <c r="II418" s="832"/>
      <c r="IJ418" s="832"/>
      <c r="IK418" s="832"/>
      <c r="IL418" s="832"/>
      <c r="IM418" s="832"/>
      <c r="IN418" s="832"/>
      <c r="IO418" s="832"/>
      <c r="IP418" s="832"/>
      <c r="IQ418" s="832"/>
      <c r="IR418" s="832"/>
      <c r="IS418" s="832"/>
      <c r="IT418" s="832"/>
      <c r="IU418" s="832"/>
      <c r="IV418" s="832"/>
      <c r="IW418" s="832"/>
      <c r="IX418" s="832"/>
      <c r="IY418" s="832"/>
      <c r="IZ418" s="832"/>
      <c r="JA418" s="832"/>
      <c r="JB418" s="832"/>
      <c r="JC418" s="832"/>
      <c r="JD418" s="832"/>
      <c r="JE418" s="832"/>
      <c r="JF418" s="832"/>
      <c r="JG418" s="832"/>
      <c r="JH418" s="832"/>
      <c r="JI418" s="832"/>
      <c r="JJ418" s="832"/>
      <c r="JK418" s="832"/>
      <c r="JL418" s="832"/>
      <c r="JM418" s="832"/>
      <c r="JN418" s="832"/>
      <c r="JO418" s="832"/>
      <c r="JP418" s="832"/>
      <c r="JQ418" s="832"/>
      <c r="JR418" s="832"/>
      <c r="JS418" s="832"/>
      <c r="JT418" s="832"/>
      <c r="JU418" s="832"/>
      <c r="JV418" s="832"/>
      <c r="JW418" s="832"/>
      <c r="JX418" s="832"/>
      <c r="JY418" s="832"/>
      <c r="JZ418" s="832"/>
      <c r="KA418" s="832"/>
      <c r="KB418" s="832"/>
      <c r="KC418" s="832"/>
      <c r="KD418" s="832"/>
      <c r="KE418" s="832"/>
      <c r="KF418" s="832"/>
      <c r="KG418" s="832"/>
      <c r="KH418" s="832"/>
      <c r="KI418" s="832"/>
      <c r="KJ418" s="832"/>
      <c r="KK418" s="832"/>
      <c r="KL418" s="832"/>
      <c r="KM418" s="832"/>
      <c r="KN418" s="832"/>
      <c r="KO418" s="832"/>
      <c r="KP418" s="832"/>
      <c r="KQ418" s="832"/>
      <c r="KR418" s="832"/>
      <c r="KS418" s="832"/>
      <c r="KT418" s="832"/>
      <c r="KU418" s="832"/>
      <c r="KV418" s="832"/>
      <c r="KW418" s="832"/>
      <c r="KX418" s="832"/>
      <c r="KY418" s="832"/>
      <c r="KZ418" s="832"/>
      <c r="LA418" s="832"/>
      <c r="LB418" s="832"/>
      <c r="LC418" s="832"/>
      <c r="LD418" s="832"/>
      <c r="LE418" s="832"/>
      <c r="LF418" s="832"/>
      <c r="LG418" s="832"/>
      <c r="LH418" s="832"/>
      <c r="LI418" s="832"/>
      <c r="LJ418" s="832"/>
      <c r="LK418" s="832"/>
      <c r="LL418" s="832"/>
      <c r="LM418" s="832"/>
      <c r="LN418" s="832"/>
      <c r="LO418" s="832"/>
      <c r="LP418" s="832"/>
      <c r="LQ418" s="832"/>
      <c r="LR418" s="832"/>
      <c r="LS418" s="832"/>
      <c r="LT418" s="832"/>
      <c r="LU418" s="832"/>
      <c r="LV418" s="832"/>
      <c r="LW418" s="832"/>
      <c r="LX418" s="832"/>
      <c r="LY418" s="832"/>
      <c r="LZ418" s="832"/>
      <c r="MA418" s="832"/>
      <c r="MB418" s="832"/>
      <c r="MC418" s="832"/>
      <c r="MD418" s="832"/>
      <c r="ME418" s="832"/>
      <c r="MF418" s="832"/>
      <c r="MG418" s="832"/>
      <c r="MH418" s="832"/>
      <c r="MI418" s="832"/>
      <c r="MJ418" s="832"/>
      <c r="MK418" s="832"/>
      <c r="ML418" s="832"/>
      <c r="MM418" s="832"/>
      <c r="MN418" s="832"/>
      <c r="MO418" s="832"/>
      <c r="MP418" s="832"/>
      <c r="MQ418" s="832"/>
      <c r="MR418" s="832"/>
      <c r="MS418" s="832"/>
      <c r="MT418" s="832"/>
      <c r="MU418" s="832"/>
      <c r="MV418" s="832"/>
      <c r="MW418" s="832"/>
      <c r="MX418" s="832"/>
      <c r="MY418" s="832"/>
      <c r="MZ418" s="832"/>
      <c r="NA418" s="832"/>
      <c r="NB418" s="832"/>
      <c r="NC418" s="832"/>
      <c r="ND418" s="832"/>
      <c r="NE418" s="832"/>
      <c r="NF418" s="832"/>
      <c r="NG418" s="832"/>
      <c r="NH418" s="832"/>
      <c r="NI418" s="832"/>
      <c r="NJ418" s="832"/>
      <c r="NK418" s="832"/>
      <c r="NL418" s="832"/>
      <c r="NM418" s="832"/>
      <c r="NN418" s="832"/>
      <c r="NO418" s="832"/>
      <c r="NP418" s="832"/>
      <c r="NQ418" s="832"/>
      <c r="NR418" s="832"/>
      <c r="NS418" s="832"/>
      <c r="NT418" s="832"/>
      <c r="NU418" s="832"/>
      <c r="NV418" s="832"/>
      <c r="NW418" s="832"/>
      <c r="NX418" s="832"/>
      <c r="NY418" s="832"/>
      <c r="NZ418" s="832"/>
      <c r="OA418" s="832"/>
      <c r="OB418" s="832"/>
      <c r="OC418" s="832"/>
      <c r="OD418" s="832"/>
      <c r="OE418" s="832"/>
      <c r="OF418" s="832"/>
      <c r="OG418" s="832"/>
      <c r="OH418" s="832"/>
      <c r="OI418" s="832"/>
      <c r="OJ418" s="832"/>
      <c r="OK418" s="832"/>
      <c r="OL418" s="832"/>
      <c r="OM418" s="832"/>
      <c r="ON418" s="832"/>
      <c r="OO418" s="832"/>
      <c r="OP418" s="832"/>
      <c r="OQ418" s="832"/>
      <c r="OR418" s="832"/>
      <c r="OS418" s="832"/>
      <c r="OT418" s="832"/>
      <c r="OU418" s="832"/>
      <c r="OV418" s="832"/>
      <c r="OW418" s="832"/>
      <c r="OX418" s="832"/>
      <c r="OY418" s="832"/>
      <c r="OZ418" s="832"/>
      <c r="PA418" s="832"/>
      <c r="PB418" s="832"/>
      <c r="PC418" s="832"/>
      <c r="PD418" s="832"/>
      <c r="PE418" s="832"/>
      <c r="PF418" s="832"/>
      <c r="PG418" s="832"/>
      <c r="PH418" s="832"/>
      <c r="PI418" s="832"/>
      <c r="PJ418" s="832"/>
      <c r="PK418" s="832"/>
      <c r="PL418" s="832"/>
      <c r="PM418" s="832"/>
      <c r="PN418" s="832"/>
      <c r="PO418" s="832"/>
      <c r="PP418" s="832"/>
      <c r="PQ418" s="832"/>
      <c r="PR418" s="832"/>
      <c r="PS418" s="832"/>
      <c r="PT418" s="832"/>
      <c r="PU418" s="832"/>
      <c r="PV418" s="832"/>
      <c r="PW418" s="832"/>
      <c r="PX418" s="832"/>
      <c r="PY418" s="832"/>
      <c r="PZ418" s="832"/>
      <c r="QA418" s="832"/>
      <c r="QB418" s="832"/>
      <c r="QC418" s="832"/>
      <c r="QD418" s="832"/>
      <c r="QE418" s="832"/>
      <c r="QF418" s="832"/>
      <c r="QG418" s="832"/>
      <c r="QH418" s="832"/>
      <c r="QI418" s="832"/>
      <c r="QJ418" s="832"/>
      <c r="QK418" s="832"/>
      <c r="QL418" s="832"/>
      <c r="QM418" s="832"/>
      <c r="QN418" s="832"/>
      <c r="QO418" s="832"/>
      <c r="QP418" s="832"/>
      <c r="QQ418" s="832"/>
      <c r="QR418" s="832"/>
      <c r="QS418" s="832"/>
      <c r="QT418" s="832"/>
      <c r="QU418" s="832"/>
      <c r="QV418" s="832"/>
      <c r="QW418" s="832"/>
      <c r="QX418" s="832"/>
      <c r="QY418" s="832"/>
      <c r="QZ418" s="832"/>
      <c r="RA418" s="832"/>
      <c r="RB418" s="832"/>
      <c r="RC418" s="832"/>
      <c r="RD418" s="832"/>
      <c r="RE418" s="832"/>
      <c r="RF418" s="832"/>
      <c r="RG418" s="832"/>
      <c r="RH418" s="832"/>
      <c r="RI418" s="832"/>
      <c r="RJ418" s="832"/>
      <c r="RK418" s="832"/>
      <c r="RL418" s="832"/>
      <c r="RM418" s="832"/>
      <c r="RN418" s="832"/>
      <c r="RO418" s="832"/>
      <c r="RP418" s="832"/>
      <c r="RQ418" s="832"/>
      <c r="RR418" s="832"/>
      <c r="RS418" s="832"/>
      <c r="RT418" s="832"/>
      <c r="RU418" s="832"/>
      <c r="RV418" s="832"/>
      <c r="RW418" s="832"/>
      <c r="RX418" s="832"/>
      <c r="RY418" s="832"/>
      <c r="RZ418" s="832"/>
      <c r="SA418" s="832"/>
      <c r="SB418" s="832"/>
      <c r="SC418" s="832"/>
      <c r="SD418" s="832"/>
      <c r="SE418" s="832"/>
      <c r="SF418" s="832"/>
      <c r="SG418" s="832"/>
      <c r="SH418" s="832"/>
      <c r="SI418" s="832"/>
      <c r="SJ418" s="832"/>
      <c r="SK418" s="832"/>
      <c r="SL418" s="832"/>
      <c r="SM418" s="832"/>
      <c r="SN418" s="832"/>
      <c r="SO418" s="832"/>
      <c r="SP418" s="832"/>
      <c r="SQ418" s="832"/>
      <c r="SR418" s="832"/>
      <c r="SS418" s="832"/>
      <c r="ST418" s="832"/>
      <c r="SU418" s="832"/>
      <c r="SV418" s="832"/>
      <c r="SW418" s="832"/>
      <c r="SX418" s="832"/>
      <c r="SY418" s="832"/>
      <c r="SZ418" s="832"/>
      <c r="TA418" s="832"/>
      <c r="TB418" s="832"/>
      <c r="TC418" s="832"/>
      <c r="TD418" s="832"/>
      <c r="TE418" s="832"/>
      <c r="TF418" s="832"/>
      <c r="TG418" s="832"/>
      <c r="TH418" s="832"/>
      <c r="TI418" s="832"/>
      <c r="TJ418" s="832"/>
      <c r="TK418" s="832"/>
      <c r="TL418" s="832"/>
      <c r="TM418" s="832"/>
      <c r="TN418" s="832"/>
      <c r="TO418" s="832"/>
      <c r="TP418" s="832"/>
      <c r="TQ418" s="832"/>
      <c r="TR418" s="832"/>
      <c r="TS418" s="832"/>
      <c r="TT418" s="832"/>
      <c r="TU418" s="832"/>
      <c r="TV418" s="832"/>
      <c r="TW418" s="832"/>
      <c r="TX418" s="832"/>
      <c r="TY418" s="832"/>
      <c r="TZ418" s="832"/>
      <c r="UA418" s="832"/>
      <c r="UB418" s="832"/>
      <c r="UC418" s="832"/>
      <c r="UD418" s="832"/>
      <c r="UE418" s="832"/>
      <c r="UF418" s="832"/>
      <c r="UG418" s="832"/>
      <c r="UH418" s="832"/>
      <c r="UI418" s="832"/>
      <c r="UJ418" s="832"/>
      <c r="UK418" s="832"/>
      <c r="UL418" s="832"/>
      <c r="UM418" s="832"/>
      <c r="UN418" s="832"/>
      <c r="UO418" s="832"/>
      <c r="UP418" s="832"/>
      <c r="UQ418" s="832"/>
      <c r="UR418" s="832"/>
      <c r="US418" s="832"/>
      <c r="UT418" s="832"/>
      <c r="UU418" s="832"/>
      <c r="UV418" s="832"/>
      <c r="UW418" s="832"/>
      <c r="UX418" s="832"/>
      <c r="UY418" s="832"/>
      <c r="UZ418" s="832"/>
      <c r="VA418" s="832"/>
      <c r="VB418" s="832"/>
      <c r="VC418" s="832"/>
      <c r="VD418" s="832"/>
      <c r="VE418" s="832"/>
      <c r="VF418" s="832"/>
      <c r="VG418" s="832"/>
      <c r="VH418" s="832"/>
      <c r="VI418" s="832"/>
      <c r="VJ418" s="832"/>
      <c r="VK418" s="832"/>
      <c r="VL418" s="832"/>
      <c r="VM418" s="832"/>
      <c r="VN418" s="832"/>
      <c r="VO418" s="832"/>
      <c r="VP418" s="832"/>
      <c r="VQ418" s="832"/>
      <c r="VR418" s="832"/>
      <c r="VS418" s="832"/>
      <c r="VT418" s="832"/>
      <c r="VU418" s="832"/>
      <c r="VV418" s="832"/>
      <c r="VW418" s="832"/>
      <c r="VX418" s="832"/>
      <c r="VY418" s="832"/>
      <c r="VZ418" s="832"/>
      <c r="WA418" s="832"/>
      <c r="WB418" s="832"/>
      <c r="WC418" s="832"/>
      <c r="WD418" s="832"/>
      <c r="WE418" s="832"/>
      <c r="WF418" s="832"/>
      <c r="WG418" s="832"/>
      <c r="WH418" s="832"/>
      <c r="WI418" s="832"/>
      <c r="WJ418" s="832"/>
      <c r="WK418" s="832"/>
      <c r="WL418" s="832"/>
      <c r="WM418" s="832"/>
      <c r="WN418" s="832"/>
      <c r="WO418" s="832"/>
      <c r="WP418" s="832"/>
      <c r="WQ418" s="832"/>
      <c r="WR418" s="832"/>
      <c r="WS418" s="832"/>
      <c r="WT418" s="832"/>
      <c r="WU418" s="832"/>
      <c r="WV418" s="832"/>
      <c r="WW418" s="832"/>
      <c r="WX418" s="832"/>
      <c r="WY418" s="832"/>
      <c r="WZ418" s="832"/>
      <c r="XA418" s="832"/>
      <c r="XB418" s="832"/>
      <c r="XC418" s="832"/>
      <c r="XD418" s="832"/>
      <c r="XE418" s="832"/>
      <c r="XF418" s="832"/>
      <c r="XG418" s="832"/>
      <c r="XH418" s="832"/>
      <c r="XI418" s="832"/>
      <c r="XJ418" s="832"/>
      <c r="XK418" s="832"/>
      <c r="XL418" s="832"/>
      <c r="XM418" s="832"/>
      <c r="XN418" s="832"/>
      <c r="XO418" s="832"/>
      <c r="XP418" s="832"/>
      <c r="XQ418" s="832"/>
      <c r="XR418" s="832"/>
      <c r="XS418" s="832"/>
      <c r="XT418" s="832"/>
      <c r="XU418" s="832"/>
      <c r="XV418" s="832"/>
      <c r="XW418" s="832"/>
      <c r="XX418" s="832"/>
      <c r="XY418" s="832"/>
      <c r="XZ418" s="832"/>
      <c r="YA418" s="832"/>
      <c r="YB418" s="832"/>
      <c r="YC418" s="832"/>
      <c r="YD418" s="832"/>
      <c r="YE418" s="832"/>
      <c r="YF418" s="832"/>
      <c r="YG418" s="832"/>
      <c r="YH418" s="832"/>
      <c r="YI418" s="832"/>
      <c r="YJ418" s="832"/>
      <c r="YK418" s="832"/>
      <c r="YL418" s="832"/>
      <c r="YM418" s="832"/>
      <c r="YN418" s="832"/>
      <c r="YO418" s="832"/>
      <c r="YP418" s="832"/>
      <c r="YQ418" s="832"/>
      <c r="YR418" s="832"/>
      <c r="YS418" s="832"/>
      <c r="YT418" s="832"/>
      <c r="YU418" s="832"/>
      <c r="YV418" s="832"/>
      <c r="YW418" s="832"/>
      <c r="YX418" s="832"/>
      <c r="YY418" s="832"/>
      <c r="YZ418" s="832"/>
      <c r="ZA418" s="832"/>
      <c r="ZB418" s="832"/>
      <c r="ZC418" s="832"/>
      <c r="ZD418" s="832"/>
      <c r="ZE418" s="832"/>
      <c r="ZF418" s="832"/>
      <c r="ZG418" s="832"/>
      <c r="ZH418" s="832"/>
      <c r="ZI418" s="832"/>
      <c r="ZJ418" s="832"/>
      <c r="ZK418" s="832"/>
      <c r="ZL418" s="832"/>
      <c r="ZM418" s="832"/>
      <c r="ZN418" s="832"/>
      <c r="ZO418" s="832"/>
      <c r="ZP418" s="832"/>
      <c r="ZQ418" s="832"/>
      <c r="ZR418" s="832"/>
      <c r="ZS418" s="832"/>
      <c r="ZT418" s="832"/>
      <c r="ZU418" s="832"/>
      <c r="ZV418" s="832"/>
      <c r="ZW418" s="832"/>
      <c r="ZX418" s="832"/>
      <c r="ZY418" s="832"/>
      <c r="ZZ418" s="832"/>
      <c r="AAA418" s="832"/>
      <c r="AAB418" s="832"/>
      <c r="AAC418" s="832"/>
      <c r="AAD418" s="832"/>
      <c r="AAE418" s="832"/>
      <c r="AAF418" s="832"/>
      <c r="AAG418" s="832"/>
      <c r="AAH418" s="832"/>
      <c r="AAI418" s="832"/>
      <c r="AAJ418" s="832"/>
      <c r="AAK418" s="832"/>
      <c r="AAL418" s="832"/>
      <c r="AAM418" s="832"/>
      <c r="AAN418" s="832"/>
      <c r="AAO418" s="832"/>
      <c r="AAP418" s="832"/>
      <c r="AAQ418" s="832"/>
      <c r="AAR418" s="832"/>
      <c r="AAS418" s="832"/>
      <c r="AAT418" s="832"/>
      <c r="AAU418" s="832"/>
      <c r="AAV418" s="832"/>
      <c r="AAW418" s="832"/>
      <c r="AAX418" s="832"/>
      <c r="AAY418" s="832"/>
      <c r="AAZ418" s="832"/>
      <c r="ABA418" s="832"/>
      <c r="ABB418" s="832"/>
      <c r="ABC418" s="832"/>
      <c r="ABD418" s="832"/>
      <c r="ABE418" s="832"/>
      <c r="ABF418" s="832"/>
      <c r="ABG418" s="832"/>
      <c r="ABH418" s="832"/>
      <c r="ABI418" s="832"/>
      <c r="ABJ418" s="832"/>
      <c r="ABK418" s="832"/>
      <c r="ABL418" s="832"/>
      <c r="ABM418" s="832"/>
      <c r="ABN418" s="832"/>
      <c r="ABO418" s="832"/>
      <c r="ABP418" s="832"/>
      <c r="ABQ418" s="832"/>
      <c r="ABR418" s="832"/>
      <c r="ABS418" s="832"/>
      <c r="ABT418" s="832"/>
      <c r="ABU418" s="832"/>
      <c r="ABV418" s="832"/>
      <c r="ABW418" s="832"/>
      <c r="ABX418" s="832"/>
      <c r="ABY418" s="832"/>
      <c r="ABZ418" s="832"/>
      <c r="ACA418" s="832"/>
      <c r="ACB418" s="832"/>
      <c r="ACC418" s="832"/>
      <c r="ACD418" s="832"/>
      <c r="ACE418" s="832"/>
      <c r="ACF418" s="832"/>
      <c r="ACG418" s="832"/>
      <c r="ACH418" s="832"/>
      <c r="ACI418" s="832"/>
      <c r="ACJ418" s="832"/>
      <c r="ACK418" s="832"/>
      <c r="ACL418" s="832"/>
      <c r="ACM418" s="832"/>
      <c r="ACN418" s="832"/>
      <c r="ACO418" s="832"/>
      <c r="ACP418" s="832"/>
      <c r="ACQ418" s="832"/>
      <c r="ACR418" s="832"/>
      <c r="ACS418" s="832"/>
      <c r="ACT418" s="832"/>
      <c r="ACU418" s="832"/>
      <c r="ACV418" s="832"/>
      <c r="ACW418" s="832"/>
      <c r="ACX418" s="832"/>
      <c r="ACY418" s="832"/>
      <c r="ACZ418" s="832"/>
      <c r="ADA418" s="832"/>
      <c r="ADB418" s="832"/>
      <c r="ADC418" s="832"/>
      <c r="ADD418" s="832"/>
      <c r="ADE418" s="832"/>
      <c r="ADF418" s="832"/>
      <c r="ADG418" s="832"/>
      <c r="ADH418" s="832"/>
      <c r="ADI418" s="832"/>
      <c r="ADJ418" s="832"/>
      <c r="ADK418" s="832"/>
      <c r="ADL418" s="832"/>
      <c r="ADM418" s="832"/>
      <c r="ADN418" s="832"/>
      <c r="ADO418" s="832"/>
      <c r="ADP418" s="832"/>
      <c r="ADQ418" s="832"/>
      <c r="ADR418" s="832"/>
      <c r="ADS418" s="832"/>
      <c r="ADT418" s="832"/>
      <c r="ADU418" s="832"/>
      <c r="ADV418" s="832"/>
      <c r="ADW418" s="832"/>
      <c r="ADX418" s="832"/>
      <c r="ADY418" s="832"/>
      <c r="ADZ418" s="832"/>
      <c r="AEA418" s="832"/>
      <c r="AEB418" s="832"/>
      <c r="AEC418" s="832"/>
      <c r="AED418" s="832"/>
      <c r="AEE418" s="832"/>
      <c r="AEF418" s="832"/>
      <c r="AEG418" s="832"/>
      <c r="AEH418" s="832"/>
      <c r="AEI418" s="832"/>
      <c r="AEJ418" s="832"/>
      <c r="AEK418" s="832"/>
      <c r="AEL418" s="832"/>
      <c r="AEM418" s="832"/>
      <c r="AEN418" s="832"/>
      <c r="AEO418" s="832"/>
      <c r="AEP418" s="832"/>
      <c r="AEQ418" s="832"/>
      <c r="AER418" s="832"/>
      <c r="AES418" s="832"/>
      <c r="AET418" s="832"/>
      <c r="AEU418" s="832"/>
      <c r="AEV418" s="832"/>
      <c r="AEW418" s="832"/>
      <c r="AEX418" s="832"/>
      <c r="AEY418" s="832"/>
      <c r="AEZ418" s="832"/>
      <c r="AFA418" s="832"/>
      <c r="AFB418" s="832"/>
      <c r="AFC418" s="832"/>
      <c r="AFD418" s="832"/>
      <c r="AFE418" s="832"/>
      <c r="AFF418" s="832"/>
      <c r="AFG418" s="832"/>
      <c r="AFH418" s="832"/>
      <c r="AFI418" s="832"/>
      <c r="AFJ418" s="832"/>
      <c r="AFK418" s="832"/>
      <c r="AFL418" s="832"/>
      <c r="AFM418" s="832"/>
      <c r="AFN418" s="832"/>
      <c r="AFO418" s="832"/>
      <c r="AFP418" s="832"/>
      <c r="AFQ418" s="832"/>
      <c r="AFR418" s="832"/>
      <c r="AFS418" s="832"/>
      <c r="AFT418" s="832"/>
      <c r="AFU418" s="832"/>
      <c r="AFV418" s="832"/>
      <c r="AFW418" s="832"/>
      <c r="AFX418" s="832"/>
      <c r="AFY418" s="832"/>
      <c r="AFZ418" s="832"/>
      <c r="AGA418" s="832"/>
      <c r="AGB418" s="832"/>
      <c r="AGC418" s="832"/>
      <c r="AGD418" s="832"/>
      <c r="AGE418" s="832"/>
      <c r="AGF418" s="832"/>
      <c r="AGG418" s="832"/>
      <c r="AGH418" s="832"/>
      <c r="AGI418" s="832"/>
      <c r="AGJ418" s="832"/>
      <c r="AGK418" s="832"/>
      <c r="AGL418" s="832"/>
      <c r="AGM418" s="832"/>
      <c r="AGN418" s="832"/>
      <c r="AGO418" s="832"/>
      <c r="AGP418" s="832"/>
      <c r="AGQ418" s="832"/>
      <c r="AGR418" s="832"/>
      <c r="AGS418" s="832"/>
      <c r="AGT418" s="832"/>
      <c r="AGU418" s="832"/>
      <c r="AGV418" s="832"/>
      <c r="AGW418" s="832"/>
      <c r="AGX418" s="832"/>
      <c r="AGY418" s="832"/>
      <c r="AGZ418" s="832"/>
      <c r="AHA418" s="832"/>
      <c r="AHB418" s="832"/>
      <c r="AHC418" s="832"/>
      <c r="AHD418" s="832"/>
      <c r="AHE418" s="832"/>
      <c r="AHF418" s="832"/>
      <c r="AHG418" s="832"/>
      <c r="AHH418" s="832"/>
      <c r="AHI418" s="832"/>
      <c r="AHJ418" s="832"/>
      <c r="AHK418" s="832"/>
      <c r="AHL418" s="832"/>
      <c r="AHM418" s="832"/>
      <c r="AHN418" s="832"/>
      <c r="AHO418" s="832"/>
      <c r="AHP418" s="832"/>
      <c r="AHQ418" s="832"/>
      <c r="AHR418" s="832"/>
      <c r="AHS418" s="832"/>
      <c r="AHT418" s="832"/>
      <c r="AHU418" s="832"/>
      <c r="AHV418" s="832"/>
      <c r="AHW418" s="832"/>
      <c r="AHX418" s="832"/>
      <c r="AHY418" s="832"/>
      <c r="AHZ418" s="832"/>
      <c r="AIA418" s="832"/>
      <c r="AIB418" s="832"/>
      <c r="AIC418" s="832"/>
      <c r="AID418" s="832"/>
      <c r="AIE418" s="832"/>
      <c r="AIF418" s="832"/>
      <c r="AIG418" s="832"/>
      <c r="AIH418" s="832"/>
      <c r="AII418" s="832"/>
      <c r="AIJ418" s="832"/>
      <c r="AIK418" s="832"/>
      <c r="AIL418" s="832"/>
      <c r="AIM418" s="832"/>
      <c r="AIN418" s="832"/>
      <c r="AIO418" s="832"/>
      <c r="AIP418" s="832"/>
      <c r="AIQ418" s="832"/>
      <c r="AIR418" s="832"/>
      <c r="AIS418" s="832"/>
      <c r="AIT418" s="832"/>
      <c r="AIU418" s="832"/>
      <c r="AIV418" s="832"/>
      <c r="AIW418" s="832"/>
      <c r="AIX418" s="832"/>
      <c r="AIY418" s="832"/>
      <c r="AIZ418" s="832"/>
      <c r="AJA418" s="832"/>
      <c r="AJB418" s="832"/>
      <c r="AJC418" s="832"/>
      <c r="AJD418" s="832"/>
      <c r="AJE418" s="832"/>
      <c r="AJF418" s="832"/>
      <c r="AJG418" s="832"/>
      <c r="AJH418" s="832"/>
      <c r="AJI418" s="832"/>
      <c r="AJJ418" s="832"/>
      <c r="AJK418" s="832"/>
      <c r="AJL418" s="832"/>
      <c r="AJM418" s="832"/>
      <c r="AJN418" s="832"/>
      <c r="AJO418" s="832"/>
      <c r="AJP418" s="832"/>
      <c r="AJQ418" s="832"/>
      <c r="AJR418" s="832"/>
      <c r="AJS418" s="832"/>
      <c r="AJT418" s="832"/>
      <c r="AJU418" s="832"/>
      <c r="AJV418" s="832"/>
      <c r="AJW418" s="832"/>
      <c r="AJX418" s="832"/>
      <c r="AJY418" s="832"/>
      <c r="AJZ418" s="832"/>
      <c r="AKA418" s="832"/>
      <c r="AKB418" s="832"/>
      <c r="AKC418" s="832"/>
      <c r="AKD418" s="832"/>
      <c r="AKE418" s="832"/>
      <c r="AKF418" s="832"/>
      <c r="AKG418" s="832"/>
      <c r="AKH418" s="832"/>
      <c r="AKI418" s="832"/>
      <c r="AKJ418" s="832"/>
      <c r="AKK418" s="832"/>
      <c r="AKL418" s="832"/>
      <c r="AKM418" s="832"/>
      <c r="AKN418" s="832"/>
      <c r="AKO418" s="832"/>
      <c r="AKP418" s="832"/>
      <c r="AKQ418" s="832"/>
      <c r="AKR418" s="832"/>
      <c r="AKS418" s="832"/>
      <c r="AKT418" s="832"/>
      <c r="AKU418" s="832"/>
      <c r="AKV418" s="832"/>
      <c r="AKW418" s="832"/>
      <c r="AKX418" s="832"/>
      <c r="AKY418" s="832"/>
      <c r="AKZ418" s="832"/>
      <c r="ALA418" s="832"/>
      <c r="ALB418" s="832"/>
      <c r="ALC418" s="832"/>
      <c r="ALD418" s="832"/>
      <c r="ALE418" s="832"/>
      <c r="ALF418" s="832"/>
      <c r="ALG418" s="832"/>
      <c r="ALH418" s="832"/>
      <c r="ALI418" s="832"/>
      <c r="ALJ418" s="832"/>
      <c r="ALK418" s="832"/>
      <c r="ALL418" s="832"/>
      <c r="ALM418" s="832"/>
      <c r="ALN418" s="832"/>
      <c r="ALO418" s="832"/>
      <c r="ALP418" s="832"/>
      <c r="ALQ418" s="832"/>
      <c r="ALR418" s="832"/>
      <c r="ALS418" s="832"/>
      <c r="ALT418" s="832"/>
      <c r="ALU418" s="832"/>
      <c r="ALV418" s="832"/>
      <c r="ALW418" s="832"/>
      <c r="ALX418" s="832"/>
      <c r="ALY418" s="832"/>
      <c r="ALZ418" s="832"/>
      <c r="AMA418" s="832"/>
      <c r="AMB418" s="832"/>
      <c r="AMC418" s="832"/>
      <c r="AMD418" s="832"/>
      <c r="AME418" s="832"/>
      <c r="AMF418" s="832"/>
      <c r="AMG418" s="832"/>
      <c r="AMH418" s="832"/>
      <c r="AMI418" s="832"/>
      <c r="AMJ418" s="832"/>
      <c r="AMK418" s="832"/>
      <c r="AML418" s="832"/>
    </row>
    <row r="419" spans="1:1026" s="388" customFormat="1" ht="24.95" customHeight="1" outlineLevel="1">
      <c r="A419" s="885"/>
      <c r="B419" s="444" t="s">
        <v>1100</v>
      </c>
      <c r="C419" s="886" t="s">
        <v>1101</v>
      </c>
      <c r="D419" s="448" t="s">
        <v>1102</v>
      </c>
      <c r="E419" s="449" t="s">
        <v>60</v>
      </c>
      <c r="F419" s="992">
        <f>Plan1!D391</f>
        <v>20</v>
      </c>
      <c r="G419" s="925">
        <f t="shared" si="123"/>
        <v>39.15</v>
      </c>
      <c r="H419" s="889">
        <f t="shared" si="124"/>
        <v>783</v>
      </c>
      <c r="I419" s="885"/>
      <c r="J419" s="915">
        <v>30.92</v>
      </c>
      <c r="K419" s="916">
        <f t="shared" si="109"/>
        <v>39.15</v>
      </c>
      <c r="L419" s="832"/>
      <c r="M419" s="832"/>
      <c r="N419" s="832"/>
      <c r="O419" s="832"/>
      <c r="P419" s="832"/>
      <c r="Q419" s="832"/>
      <c r="R419" s="832"/>
      <c r="S419" s="832"/>
      <c r="T419" s="832"/>
      <c r="U419" s="832"/>
      <c r="V419" s="832"/>
      <c r="W419" s="832"/>
      <c r="X419" s="832"/>
      <c r="Y419" s="832"/>
      <c r="Z419" s="832"/>
      <c r="AA419" s="832"/>
      <c r="AB419" s="832"/>
      <c r="AC419" s="832"/>
      <c r="AD419" s="832"/>
      <c r="AE419" s="832"/>
      <c r="AF419" s="832"/>
      <c r="AG419" s="832"/>
      <c r="AH419" s="832"/>
      <c r="AI419" s="832"/>
      <c r="AJ419" s="832"/>
      <c r="AK419" s="832"/>
      <c r="AL419" s="832"/>
      <c r="AM419" s="832"/>
      <c r="AN419" s="832"/>
      <c r="AO419" s="832"/>
      <c r="AP419" s="832"/>
      <c r="AQ419" s="832"/>
      <c r="AR419" s="832"/>
      <c r="AS419" s="832"/>
      <c r="AT419" s="832"/>
      <c r="AU419" s="832"/>
      <c r="AV419" s="832"/>
      <c r="AW419" s="832"/>
      <c r="AX419" s="832"/>
      <c r="AY419" s="832"/>
      <c r="AZ419" s="832"/>
      <c r="BA419" s="832"/>
      <c r="BB419" s="832"/>
      <c r="BC419" s="832"/>
      <c r="BD419" s="832"/>
      <c r="BE419" s="832"/>
      <c r="BF419" s="832"/>
      <c r="BG419" s="832"/>
      <c r="BH419" s="832"/>
      <c r="BI419" s="832"/>
      <c r="BJ419" s="832"/>
      <c r="BK419" s="832"/>
      <c r="BL419" s="832"/>
      <c r="BM419" s="832"/>
      <c r="BN419" s="832"/>
      <c r="BO419" s="832"/>
      <c r="BP419" s="832"/>
      <c r="BQ419" s="832"/>
      <c r="BR419" s="832"/>
      <c r="BS419" s="832"/>
      <c r="BT419" s="832"/>
      <c r="BU419" s="832"/>
      <c r="BV419" s="832"/>
      <c r="BW419" s="832"/>
      <c r="BX419" s="832"/>
      <c r="BY419" s="832"/>
      <c r="BZ419" s="832"/>
      <c r="CA419" s="832"/>
      <c r="CB419" s="832"/>
      <c r="CC419" s="832"/>
      <c r="CD419" s="832"/>
      <c r="CE419" s="832"/>
      <c r="CF419" s="832"/>
      <c r="CG419" s="832"/>
      <c r="CH419" s="832"/>
      <c r="CI419" s="832"/>
      <c r="CJ419" s="832"/>
      <c r="CK419" s="832"/>
      <c r="CL419" s="832"/>
      <c r="CM419" s="832"/>
      <c r="CN419" s="832"/>
      <c r="CO419" s="832"/>
      <c r="CP419" s="832"/>
      <c r="CQ419" s="832"/>
      <c r="CR419" s="832"/>
      <c r="CS419" s="832"/>
      <c r="CT419" s="832"/>
      <c r="CU419" s="832"/>
      <c r="CV419" s="832"/>
      <c r="CW419" s="832"/>
      <c r="CX419" s="832"/>
      <c r="CY419" s="832"/>
      <c r="CZ419" s="832"/>
      <c r="DA419" s="832"/>
      <c r="DB419" s="832"/>
      <c r="DC419" s="832"/>
      <c r="DD419" s="832"/>
      <c r="DE419" s="832"/>
      <c r="DF419" s="832"/>
      <c r="DG419" s="832"/>
      <c r="DH419" s="832"/>
      <c r="DI419" s="832"/>
      <c r="DJ419" s="832"/>
      <c r="DK419" s="832"/>
      <c r="DL419" s="832"/>
      <c r="DM419" s="832"/>
      <c r="DN419" s="832"/>
      <c r="DO419" s="832"/>
      <c r="DP419" s="832"/>
      <c r="DQ419" s="832"/>
      <c r="DR419" s="832"/>
      <c r="DS419" s="832"/>
      <c r="DT419" s="832"/>
      <c r="DU419" s="832"/>
      <c r="DV419" s="832"/>
      <c r="DW419" s="832"/>
      <c r="DX419" s="832"/>
      <c r="DY419" s="832"/>
      <c r="DZ419" s="832"/>
      <c r="EA419" s="832"/>
      <c r="EB419" s="832"/>
      <c r="EC419" s="832"/>
      <c r="ED419" s="832"/>
      <c r="EE419" s="832"/>
      <c r="EF419" s="832"/>
      <c r="EG419" s="832"/>
      <c r="EH419" s="832"/>
      <c r="EI419" s="832"/>
      <c r="EJ419" s="832"/>
      <c r="EK419" s="832"/>
      <c r="EL419" s="832"/>
      <c r="EM419" s="832"/>
      <c r="EN419" s="832"/>
      <c r="EO419" s="832"/>
      <c r="EP419" s="832"/>
      <c r="EQ419" s="832"/>
      <c r="ER419" s="832"/>
      <c r="ES419" s="832"/>
      <c r="ET419" s="832"/>
      <c r="EU419" s="832"/>
      <c r="EV419" s="832"/>
      <c r="EW419" s="832"/>
      <c r="EX419" s="832"/>
      <c r="EY419" s="832"/>
      <c r="EZ419" s="832"/>
      <c r="FA419" s="832"/>
      <c r="FB419" s="832"/>
      <c r="FC419" s="832"/>
      <c r="FD419" s="832"/>
      <c r="FE419" s="832"/>
      <c r="FF419" s="832"/>
      <c r="FG419" s="832"/>
      <c r="FH419" s="832"/>
      <c r="FI419" s="832"/>
      <c r="FJ419" s="832"/>
      <c r="FK419" s="832"/>
      <c r="FL419" s="832"/>
      <c r="FM419" s="832"/>
      <c r="FN419" s="832"/>
      <c r="FO419" s="832"/>
      <c r="FP419" s="832"/>
      <c r="FQ419" s="832"/>
      <c r="FR419" s="832"/>
      <c r="FS419" s="832"/>
      <c r="FT419" s="832"/>
      <c r="FU419" s="832"/>
      <c r="FV419" s="832"/>
      <c r="FW419" s="832"/>
      <c r="FX419" s="832"/>
      <c r="FY419" s="832"/>
      <c r="FZ419" s="832"/>
      <c r="GA419" s="832"/>
      <c r="GB419" s="832"/>
      <c r="GC419" s="832"/>
      <c r="GD419" s="832"/>
      <c r="GE419" s="832"/>
      <c r="GF419" s="832"/>
      <c r="GG419" s="832"/>
      <c r="GH419" s="832"/>
      <c r="GI419" s="832"/>
      <c r="GJ419" s="832"/>
      <c r="GK419" s="832"/>
      <c r="GL419" s="832"/>
      <c r="GM419" s="832"/>
      <c r="GN419" s="832"/>
      <c r="GO419" s="832"/>
      <c r="GP419" s="832"/>
      <c r="GQ419" s="832"/>
      <c r="GR419" s="832"/>
      <c r="GS419" s="832"/>
      <c r="GT419" s="832"/>
      <c r="GU419" s="832"/>
      <c r="GV419" s="832"/>
      <c r="GW419" s="832"/>
      <c r="GX419" s="832"/>
      <c r="GY419" s="832"/>
      <c r="GZ419" s="832"/>
      <c r="HA419" s="832"/>
      <c r="HB419" s="832"/>
      <c r="HC419" s="832"/>
      <c r="HD419" s="832"/>
      <c r="HE419" s="832"/>
      <c r="HF419" s="832"/>
      <c r="HG419" s="832"/>
      <c r="HH419" s="832"/>
      <c r="HI419" s="832"/>
      <c r="HJ419" s="832"/>
      <c r="HK419" s="832"/>
      <c r="HL419" s="832"/>
      <c r="HM419" s="832"/>
      <c r="HN419" s="832"/>
      <c r="HO419" s="832"/>
      <c r="HP419" s="832"/>
      <c r="HQ419" s="832"/>
      <c r="HR419" s="832"/>
      <c r="HS419" s="832"/>
      <c r="HT419" s="832"/>
      <c r="HU419" s="832"/>
      <c r="HV419" s="832"/>
      <c r="HW419" s="832"/>
      <c r="HX419" s="832"/>
      <c r="HY419" s="832"/>
      <c r="HZ419" s="832"/>
      <c r="IA419" s="832"/>
      <c r="IB419" s="832"/>
      <c r="IC419" s="832"/>
      <c r="ID419" s="832"/>
      <c r="IE419" s="832"/>
      <c r="IF419" s="832"/>
      <c r="IG419" s="832"/>
      <c r="IH419" s="832"/>
      <c r="II419" s="832"/>
      <c r="IJ419" s="832"/>
      <c r="IK419" s="832"/>
      <c r="IL419" s="832"/>
      <c r="IM419" s="832"/>
      <c r="IN419" s="832"/>
      <c r="IO419" s="832"/>
      <c r="IP419" s="832"/>
      <c r="IQ419" s="832"/>
      <c r="IR419" s="832"/>
      <c r="IS419" s="832"/>
      <c r="IT419" s="832"/>
      <c r="IU419" s="832"/>
      <c r="IV419" s="832"/>
      <c r="IW419" s="832"/>
      <c r="IX419" s="832"/>
      <c r="IY419" s="832"/>
      <c r="IZ419" s="832"/>
      <c r="JA419" s="832"/>
      <c r="JB419" s="832"/>
      <c r="JC419" s="832"/>
      <c r="JD419" s="832"/>
      <c r="JE419" s="832"/>
      <c r="JF419" s="832"/>
      <c r="JG419" s="832"/>
      <c r="JH419" s="832"/>
      <c r="JI419" s="832"/>
      <c r="JJ419" s="832"/>
      <c r="JK419" s="832"/>
      <c r="JL419" s="832"/>
      <c r="JM419" s="832"/>
      <c r="JN419" s="832"/>
      <c r="JO419" s="832"/>
      <c r="JP419" s="832"/>
      <c r="JQ419" s="832"/>
      <c r="JR419" s="832"/>
      <c r="JS419" s="832"/>
      <c r="JT419" s="832"/>
      <c r="JU419" s="832"/>
      <c r="JV419" s="832"/>
      <c r="JW419" s="832"/>
      <c r="JX419" s="832"/>
      <c r="JY419" s="832"/>
      <c r="JZ419" s="832"/>
      <c r="KA419" s="832"/>
      <c r="KB419" s="832"/>
      <c r="KC419" s="832"/>
      <c r="KD419" s="832"/>
      <c r="KE419" s="832"/>
      <c r="KF419" s="832"/>
      <c r="KG419" s="832"/>
      <c r="KH419" s="832"/>
      <c r="KI419" s="832"/>
      <c r="KJ419" s="832"/>
      <c r="KK419" s="832"/>
      <c r="KL419" s="832"/>
      <c r="KM419" s="832"/>
      <c r="KN419" s="832"/>
      <c r="KO419" s="832"/>
      <c r="KP419" s="832"/>
      <c r="KQ419" s="832"/>
      <c r="KR419" s="832"/>
      <c r="KS419" s="832"/>
      <c r="KT419" s="832"/>
      <c r="KU419" s="832"/>
      <c r="KV419" s="832"/>
      <c r="KW419" s="832"/>
      <c r="KX419" s="832"/>
      <c r="KY419" s="832"/>
      <c r="KZ419" s="832"/>
      <c r="LA419" s="832"/>
      <c r="LB419" s="832"/>
      <c r="LC419" s="832"/>
      <c r="LD419" s="832"/>
      <c r="LE419" s="832"/>
      <c r="LF419" s="832"/>
      <c r="LG419" s="832"/>
      <c r="LH419" s="832"/>
      <c r="LI419" s="832"/>
      <c r="LJ419" s="832"/>
      <c r="LK419" s="832"/>
      <c r="LL419" s="832"/>
      <c r="LM419" s="832"/>
      <c r="LN419" s="832"/>
      <c r="LO419" s="832"/>
      <c r="LP419" s="832"/>
      <c r="LQ419" s="832"/>
      <c r="LR419" s="832"/>
      <c r="LS419" s="832"/>
      <c r="LT419" s="832"/>
      <c r="LU419" s="832"/>
      <c r="LV419" s="832"/>
      <c r="LW419" s="832"/>
      <c r="LX419" s="832"/>
      <c r="LY419" s="832"/>
      <c r="LZ419" s="832"/>
      <c r="MA419" s="832"/>
      <c r="MB419" s="832"/>
      <c r="MC419" s="832"/>
      <c r="MD419" s="832"/>
      <c r="ME419" s="832"/>
      <c r="MF419" s="832"/>
      <c r="MG419" s="832"/>
      <c r="MH419" s="832"/>
      <c r="MI419" s="832"/>
      <c r="MJ419" s="832"/>
      <c r="MK419" s="832"/>
      <c r="ML419" s="832"/>
      <c r="MM419" s="832"/>
      <c r="MN419" s="832"/>
      <c r="MO419" s="832"/>
      <c r="MP419" s="832"/>
      <c r="MQ419" s="832"/>
      <c r="MR419" s="832"/>
      <c r="MS419" s="832"/>
      <c r="MT419" s="832"/>
      <c r="MU419" s="832"/>
      <c r="MV419" s="832"/>
      <c r="MW419" s="832"/>
      <c r="MX419" s="832"/>
      <c r="MY419" s="832"/>
      <c r="MZ419" s="832"/>
      <c r="NA419" s="832"/>
      <c r="NB419" s="832"/>
      <c r="NC419" s="832"/>
      <c r="ND419" s="832"/>
      <c r="NE419" s="832"/>
      <c r="NF419" s="832"/>
      <c r="NG419" s="832"/>
      <c r="NH419" s="832"/>
      <c r="NI419" s="832"/>
      <c r="NJ419" s="832"/>
      <c r="NK419" s="832"/>
      <c r="NL419" s="832"/>
      <c r="NM419" s="832"/>
      <c r="NN419" s="832"/>
      <c r="NO419" s="832"/>
      <c r="NP419" s="832"/>
      <c r="NQ419" s="832"/>
      <c r="NR419" s="832"/>
      <c r="NS419" s="832"/>
      <c r="NT419" s="832"/>
      <c r="NU419" s="832"/>
      <c r="NV419" s="832"/>
      <c r="NW419" s="832"/>
      <c r="NX419" s="832"/>
      <c r="NY419" s="832"/>
      <c r="NZ419" s="832"/>
      <c r="OA419" s="832"/>
      <c r="OB419" s="832"/>
      <c r="OC419" s="832"/>
      <c r="OD419" s="832"/>
      <c r="OE419" s="832"/>
      <c r="OF419" s="832"/>
      <c r="OG419" s="832"/>
      <c r="OH419" s="832"/>
      <c r="OI419" s="832"/>
      <c r="OJ419" s="832"/>
      <c r="OK419" s="832"/>
      <c r="OL419" s="832"/>
      <c r="OM419" s="832"/>
      <c r="ON419" s="832"/>
      <c r="OO419" s="832"/>
      <c r="OP419" s="832"/>
      <c r="OQ419" s="832"/>
      <c r="OR419" s="832"/>
      <c r="OS419" s="832"/>
      <c r="OT419" s="832"/>
      <c r="OU419" s="832"/>
      <c r="OV419" s="832"/>
      <c r="OW419" s="832"/>
      <c r="OX419" s="832"/>
      <c r="OY419" s="832"/>
      <c r="OZ419" s="832"/>
      <c r="PA419" s="832"/>
      <c r="PB419" s="832"/>
      <c r="PC419" s="832"/>
      <c r="PD419" s="832"/>
      <c r="PE419" s="832"/>
      <c r="PF419" s="832"/>
      <c r="PG419" s="832"/>
      <c r="PH419" s="832"/>
      <c r="PI419" s="832"/>
      <c r="PJ419" s="832"/>
      <c r="PK419" s="832"/>
      <c r="PL419" s="832"/>
      <c r="PM419" s="832"/>
      <c r="PN419" s="832"/>
      <c r="PO419" s="832"/>
      <c r="PP419" s="832"/>
      <c r="PQ419" s="832"/>
      <c r="PR419" s="832"/>
      <c r="PS419" s="832"/>
      <c r="PT419" s="832"/>
      <c r="PU419" s="832"/>
      <c r="PV419" s="832"/>
      <c r="PW419" s="832"/>
      <c r="PX419" s="832"/>
      <c r="PY419" s="832"/>
      <c r="PZ419" s="832"/>
      <c r="QA419" s="832"/>
      <c r="QB419" s="832"/>
      <c r="QC419" s="832"/>
      <c r="QD419" s="832"/>
      <c r="QE419" s="832"/>
      <c r="QF419" s="832"/>
      <c r="QG419" s="832"/>
      <c r="QH419" s="832"/>
      <c r="QI419" s="832"/>
      <c r="QJ419" s="832"/>
      <c r="QK419" s="832"/>
      <c r="QL419" s="832"/>
      <c r="QM419" s="832"/>
      <c r="QN419" s="832"/>
      <c r="QO419" s="832"/>
      <c r="QP419" s="832"/>
      <c r="QQ419" s="832"/>
      <c r="QR419" s="832"/>
      <c r="QS419" s="832"/>
      <c r="QT419" s="832"/>
      <c r="QU419" s="832"/>
      <c r="QV419" s="832"/>
      <c r="QW419" s="832"/>
      <c r="QX419" s="832"/>
      <c r="QY419" s="832"/>
      <c r="QZ419" s="832"/>
      <c r="RA419" s="832"/>
      <c r="RB419" s="832"/>
      <c r="RC419" s="832"/>
      <c r="RD419" s="832"/>
      <c r="RE419" s="832"/>
      <c r="RF419" s="832"/>
      <c r="RG419" s="832"/>
      <c r="RH419" s="832"/>
      <c r="RI419" s="832"/>
      <c r="RJ419" s="832"/>
      <c r="RK419" s="832"/>
      <c r="RL419" s="832"/>
      <c r="RM419" s="832"/>
      <c r="RN419" s="832"/>
      <c r="RO419" s="832"/>
      <c r="RP419" s="832"/>
      <c r="RQ419" s="832"/>
      <c r="RR419" s="832"/>
      <c r="RS419" s="832"/>
      <c r="RT419" s="832"/>
      <c r="RU419" s="832"/>
      <c r="RV419" s="832"/>
      <c r="RW419" s="832"/>
      <c r="RX419" s="832"/>
      <c r="RY419" s="832"/>
      <c r="RZ419" s="832"/>
      <c r="SA419" s="832"/>
      <c r="SB419" s="832"/>
      <c r="SC419" s="832"/>
      <c r="SD419" s="832"/>
      <c r="SE419" s="832"/>
      <c r="SF419" s="832"/>
      <c r="SG419" s="832"/>
      <c r="SH419" s="832"/>
      <c r="SI419" s="832"/>
      <c r="SJ419" s="832"/>
      <c r="SK419" s="832"/>
      <c r="SL419" s="832"/>
      <c r="SM419" s="832"/>
      <c r="SN419" s="832"/>
      <c r="SO419" s="832"/>
      <c r="SP419" s="832"/>
      <c r="SQ419" s="832"/>
      <c r="SR419" s="832"/>
      <c r="SS419" s="832"/>
      <c r="ST419" s="832"/>
      <c r="SU419" s="832"/>
      <c r="SV419" s="832"/>
      <c r="SW419" s="832"/>
      <c r="SX419" s="832"/>
      <c r="SY419" s="832"/>
      <c r="SZ419" s="832"/>
      <c r="TA419" s="832"/>
      <c r="TB419" s="832"/>
      <c r="TC419" s="832"/>
      <c r="TD419" s="832"/>
      <c r="TE419" s="832"/>
      <c r="TF419" s="832"/>
      <c r="TG419" s="832"/>
      <c r="TH419" s="832"/>
      <c r="TI419" s="832"/>
      <c r="TJ419" s="832"/>
      <c r="TK419" s="832"/>
      <c r="TL419" s="832"/>
      <c r="TM419" s="832"/>
      <c r="TN419" s="832"/>
      <c r="TO419" s="832"/>
      <c r="TP419" s="832"/>
      <c r="TQ419" s="832"/>
      <c r="TR419" s="832"/>
      <c r="TS419" s="832"/>
      <c r="TT419" s="832"/>
      <c r="TU419" s="832"/>
      <c r="TV419" s="832"/>
      <c r="TW419" s="832"/>
      <c r="TX419" s="832"/>
      <c r="TY419" s="832"/>
      <c r="TZ419" s="832"/>
      <c r="UA419" s="832"/>
      <c r="UB419" s="832"/>
      <c r="UC419" s="832"/>
      <c r="UD419" s="832"/>
      <c r="UE419" s="832"/>
      <c r="UF419" s="832"/>
      <c r="UG419" s="832"/>
      <c r="UH419" s="832"/>
      <c r="UI419" s="832"/>
      <c r="UJ419" s="832"/>
      <c r="UK419" s="832"/>
      <c r="UL419" s="832"/>
      <c r="UM419" s="832"/>
      <c r="UN419" s="832"/>
      <c r="UO419" s="832"/>
      <c r="UP419" s="832"/>
      <c r="UQ419" s="832"/>
      <c r="UR419" s="832"/>
      <c r="US419" s="832"/>
      <c r="UT419" s="832"/>
      <c r="UU419" s="832"/>
      <c r="UV419" s="832"/>
      <c r="UW419" s="832"/>
      <c r="UX419" s="832"/>
      <c r="UY419" s="832"/>
      <c r="UZ419" s="832"/>
      <c r="VA419" s="832"/>
      <c r="VB419" s="832"/>
      <c r="VC419" s="832"/>
      <c r="VD419" s="832"/>
      <c r="VE419" s="832"/>
      <c r="VF419" s="832"/>
      <c r="VG419" s="832"/>
      <c r="VH419" s="832"/>
      <c r="VI419" s="832"/>
      <c r="VJ419" s="832"/>
      <c r="VK419" s="832"/>
      <c r="VL419" s="832"/>
      <c r="VM419" s="832"/>
      <c r="VN419" s="832"/>
      <c r="VO419" s="832"/>
      <c r="VP419" s="832"/>
      <c r="VQ419" s="832"/>
      <c r="VR419" s="832"/>
      <c r="VS419" s="832"/>
      <c r="VT419" s="832"/>
      <c r="VU419" s="832"/>
      <c r="VV419" s="832"/>
      <c r="VW419" s="832"/>
      <c r="VX419" s="832"/>
      <c r="VY419" s="832"/>
      <c r="VZ419" s="832"/>
      <c r="WA419" s="832"/>
      <c r="WB419" s="832"/>
      <c r="WC419" s="832"/>
      <c r="WD419" s="832"/>
      <c r="WE419" s="832"/>
      <c r="WF419" s="832"/>
      <c r="WG419" s="832"/>
      <c r="WH419" s="832"/>
      <c r="WI419" s="832"/>
      <c r="WJ419" s="832"/>
      <c r="WK419" s="832"/>
      <c r="WL419" s="832"/>
      <c r="WM419" s="832"/>
      <c r="WN419" s="832"/>
      <c r="WO419" s="832"/>
      <c r="WP419" s="832"/>
      <c r="WQ419" s="832"/>
      <c r="WR419" s="832"/>
      <c r="WS419" s="832"/>
      <c r="WT419" s="832"/>
      <c r="WU419" s="832"/>
      <c r="WV419" s="832"/>
      <c r="WW419" s="832"/>
      <c r="WX419" s="832"/>
      <c r="WY419" s="832"/>
      <c r="WZ419" s="832"/>
      <c r="XA419" s="832"/>
      <c r="XB419" s="832"/>
      <c r="XC419" s="832"/>
      <c r="XD419" s="832"/>
      <c r="XE419" s="832"/>
      <c r="XF419" s="832"/>
      <c r="XG419" s="832"/>
      <c r="XH419" s="832"/>
      <c r="XI419" s="832"/>
      <c r="XJ419" s="832"/>
      <c r="XK419" s="832"/>
      <c r="XL419" s="832"/>
      <c r="XM419" s="832"/>
      <c r="XN419" s="832"/>
      <c r="XO419" s="832"/>
      <c r="XP419" s="832"/>
      <c r="XQ419" s="832"/>
      <c r="XR419" s="832"/>
      <c r="XS419" s="832"/>
      <c r="XT419" s="832"/>
      <c r="XU419" s="832"/>
      <c r="XV419" s="832"/>
      <c r="XW419" s="832"/>
      <c r="XX419" s="832"/>
      <c r="XY419" s="832"/>
      <c r="XZ419" s="832"/>
      <c r="YA419" s="832"/>
      <c r="YB419" s="832"/>
      <c r="YC419" s="832"/>
      <c r="YD419" s="832"/>
      <c r="YE419" s="832"/>
      <c r="YF419" s="832"/>
      <c r="YG419" s="832"/>
      <c r="YH419" s="832"/>
      <c r="YI419" s="832"/>
      <c r="YJ419" s="832"/>
      <c r="YK419" s="832"/>
      <c r="YL419" s="832"/>
      <c r="YM419" s="832"/>
      <c r="YN419" s="832"/>
      <c r="YO419" s="832"/>
      <c r="YP419" s="832"/>
      <c r="YQ419" s="832"/>
      <c r="YR419" s="832"/>
      <c r="YS419" s="832"/>
      <c r="YT419" s="832"/>
      <c r="YU419" s="832"/>
      <c r="YV419" s="832"/>
      <c r="YW419" s="832"/>
      <c r="YX419" s="832"/>
      <c r="YY419" s="832"/>
      <c r="YZ419" s="832"/>
      <c r="ZA419" s="832"/>
      <c r="ZB419" s="832"/>
      <c r="ZC419" s="832"/>
      <c r="ZD419" s="832"/>
      <c r="ZE419" s="832"/>
      <c r="ZF419" s="832"/>
      <c r="ZG419" s="832"/>
      <c r="ZH419" s="832"/>
      <c r="ZI419" s="832"/>
      <c r="ZJ419" s="832"/>
      <c r="ZK419" s="832"/>
      <c r="ZL419" s="832"/>
      <c r="ZM419" s="832"/>
      <c r="ZN419" s="832"/>
      <c r="ZO419" s="832"/>
      <c r="ZP419" s="832"/>
      <c r="ZQ419" s="832"/>
      <c r="ZR419" s="832"/>
      <c r="ZS419" s="832"/>
      <c r="ZT419" s="832"/>
      <c r="ZU419" s="832"/>
      <c r="ZV419" s="832"/>
      <c r="ZW419" s="832"/>
      <c r="ZX419" s="832"/>
      <c r="ZY419" s="832"/>
      <c r="ZZ419" s="832"/>
      <c r="AAA419" s="832"/>
      <c r="AAB419" s="832"/>
      <c r="AAC419" s="832"/>
      <c r="AAD419" s="832"/>
      <c r="AAE419" s="832"/>
      <c r="AAF419" s="832"/>
      <c r="AAG419" s="832"/>
      <c r="AAH419" s="832"/>
      <c r="AAI419" s="832"/>
      <c r="AAJ419" s="832"/>
      <c r="AAK419" s="832"/>
      <c r="AAL419" s="832"/>
      <c r="AAM419" s="832"/>
      <c r="AAN419" s="832"/>
      <c r="AAO419" s="832"/>
      <c r="AAP419" s="832"/>
      <c r="AAQ419" s="832"/>
      <c r="AAR419" s="832"/>
      <c r="AAS419" s="832"/>
      <c r="AAT419" s="832"/>
      <c r="AAU419" s="832"/>
      <c r="AAV419" s="832"/>
      <c r="AAW419" s="832"/>
      <c r="AAX419" s="832"/>
      <c r="AAY419" s="832"/>
      <c r="AAZ419" s="832"/>
      <c r="ABA419" s="832"/>
      <c r="ABB419" s="832"/>
      <c r="ABC419" s="832"/>
      <c r="ABD419" s="832"/>
      <c r="ABE419" s="832"/>
      <c r="ABF419" s="832"/>
      <c r="ABG419" s="832"/>
      <c r="ABH419" s="832"/>
      <c r="ABI419" s="832"/>
      <c r="ABJ419" s="832"/>
      <c r="ABK419" s="832"/>
      <c r="ABL419" s="832"/>
      <c r="ABM419" s="832"/>
      <c r="ABN419" s="832"/>
      <c r="ABO419" s="832"/>
      <c r="ABP419" s="832"/>
      <c r="ABQ419" s="832"/>
      <c r="ABR419" s="832"/>
      <c r="ABS419" s="832"/>
      <c r="ABT419" s="832"/>
      <c r="ABU419" s="832"/>
      <c r="ABV419" s="832"/>
      <c r="ABW419" s="832"/>
      <c r="ABX419" s="832"/>
      <c r="ABY419" s="832"/>
      <c r="ABZ419" s="832"/>
      <c r="ACA419" s="832"/>
      <c r="ACB419" s="832"/>
      <c r="ACC419" s="832"/>
      <c r="ACD419" s="832"/>
      <c r="ACE419" s="832"/>
      <c r="ACF419" s="832"/>
      <c r="ACG419" s="832"/>
      <c r="ACH419" s="832"/>
      <c r="ACI419" s="832"/>
      <c r="ACJ419" s="832"/>
      <c r="ACK419" s="832"/>
      <c r="ACL419" s="832"/>
      <c r="ACM419" s="832"/>
      <c r="ACN419" s="832"/>
      <c r="ACO419" s="832"/>
      <c r="ACP419" s="832"/>
      <c r="ACQ419" s="832"/>
      <c r="ACR419" s="832"/>
      <c r="ACS419" s="832"/>
      <c r="ACT419" s="832"/>
      <c r="ACU419" s="832"/>
      <c r="ACV419" s="832"/>
      <c r="ACW419" s="832"/>
      <c r="ACX419" s="832"/>
      <c r="ACY419" s="832"/>
      <c r="ACZ419" s="832"/>
      <c r="ADA419" s="832"/>
      <c r="ADB419" s="832"/>
      <c r="ADC419" s="832"/>
      <c r="ADD419" s="832"/>
      <c r="ADE419" s="832"/>
      <c r="ADF419" s="832"/>
      <c r="ADG419" s="832"/>
      <c r="ADH419" s="832"/>
      <c r="ADI419" s="832"/>
      <c r="ADJ419" s="832"/>
      <c r="ADK419" s="832"/>
      <c r="ADL419" s="832"/>
      <c r="ADM419" s="832"/>
      <c r="ADN419" s="832"/>
      <c r="ADO419" s="832"/>
      <c r="ADP419" s="832"/>
      <c r="ADQ419" s="832"/>
      <c r="ADR419" s="832"/>
      <c r="ADS419" s="832"/>
      <c r="ADT419" s="832"/>
      <c r="ADU419" s="832"/>
      <c r="ADV419" s="832"/>
      <c r="ADW419" s="832"/>
      <c r="ADX419" s="832"/>
      <c r="ADY419" s="832"/>
      <c r="ADZ419" s="832"/>
      <c r="AEA419" s="832"/>
      <c r="AEB419" s="832"/>
      <c r="AEC419" s="832"/>
      <c r="AED419" s="832"/>
      <c r="AEE419" s="832"/>
      <c r="AEF419" s="832"/>
      <c r="AEG419" s="832"/>
      <c r="AEH419" s="832"/>
      <c r="AEI419" s="832"/>
      <c r="AEJ419" s="832"/>
      <c r="AEK419" s="832"/>
      <c r="AEL419" s="832"/>
      <c r="AEM419" s="832"/>
      <c r="AEN419" s="832"/>
      <c r="AEO419" s="832"/>
      <c r="AEP419" s="832"/>
      <c r="AEQ419" s="832"/>
      <c r="AER419" s="832"/>
      <c r="AES419" s="832"/>
      <c r="AET419" s="832"/>
      <c r="AEU419" s="832"/>
      <c r="AEV419" s="832"/>
      <c r="AEW419" s="832"/>
      <c r="AEX419" s="832"/>
      <c r="AEY419" s="832"/>
      <c r="AEZ419" s="832"/>
      <c r="AFA419" s="832"/>
      <c r="AFB419" s="832"/>
      <c r="AFC419" s="832"/>
      <c r="AFD419" s="832"/>
      <c r="AFE419" s="832"/>
      <c r="AFF419" s="832"/>
      <c r="AFG419" s="832"/>
      <c r="AFH419" s="832"/>
      <c r="AFI419" s="832"/>
      <c r="AFJ419" s="832"/>
      <c r="AFK419" s="832"/>
      <c r="AFL419" s="832"/>
      <c r="AFM419" s="832"/>
      <c r="AFN419" s="832"/>
      <c r="AFO419" s="832"/>
      <c r="AFP419" s="832"/>
      <c r="AFQ419" s="832"/>
      <c r="AFR419" s="832"/>
      <c r="AFS419" s="832"/>
      <c r="AFT419" s="832"/>
      <c r="AFU419" s="832"/>
      <c r="AFV419" s="832"/>
      <c r="AFW419" s="832"/>
      <c r="AFX419" s="832"/>
      <c r="AFY419" s="832"/>
      <c r="AFZ419" s="832"/>
      <c r="AGA419" s="832"/>
      <c r="AGB419" s="832"/>
      <c r="AGC419" s="832"/>
      <c r="AGD419" s="832"/>
      <c r="AGE419" s="832"/>
      <c r="AGF419" s="832"/>
      <c r="AGG419" s="832"/>
      <c r="AGH419" s="832"/>
      <c r="AGI419" s="832"/>
      <c r="AGJ419" s="832"/>
      <c r="AGK419" s="832"/>
      <c r="AGL419" s="832"/>
      <c r="AGM419" s="832"/>
      <c r="AGN419" s="832"/>
      <c r="AGO419" s="832"/>
      <c r="AGP419" s="832"/>
      <c r="AGQ419" s="832"/>
      <c r="AGR419" s="832"/>
      <c r="AGS419" s="832"/>
      <c r="AGT419" s="832"/>
      <c r="AGU419" s="832"/>
      <c r="AGV419" s="832"/>
      <c r="AGW419" s="832"/>
      <c r="AGX419" s="832"/>
      <c r="AGY419" s="832"/>
      <c r="AGZ419" s="832"/>
      <c r="AHA419" s="832"/>
      <c r="AHB419" s="832"/>
      <c r="AHC419" s="832"/>
      <c r="AHD419" s="832"/>
      <c r="AHE419" s="832"/>
      <c r="AHF419" s="832"/>
      <c r="AHG419" s="832"/>
      <c r="AHH419" s="832"/>
      <c r="AHI419" s="832"/>
      <c r="AHJ419" s="832"/>
      <c r="AHK419" s="832"/>
      <c r="AHL419" s="832"/>
      <c r="AHM419" s="832"/>
      <c r="AHN419" s="832"/>
      <c r="AHO419" s="832"/>
      <c r="AHP419" s="832"/>
      <c r="AHQ419" s="832"/>
      <c r="AHR419" s="832"/>
      <c r="AHS419" s="832"/>
      <c r="AHT419" s="832"/>
      <c r="AHU419" s="832"/>
      <c r="AHV419" s="832"/>
      <c r="AHW419" s="832"/>
      <c r="AHX419" s="832"/>
      <c r="AHY419" s="832"/>
      <c r="AHZ419" s="832"/>
      <c r="AIA419" s="832"/>
      <c r="AIB419" s="832"/>
      <c r="AIC419" s="832"/>
      <c r="AID419" s="832"/>
      <c r="AIE419" s="832"/>
      <c r="AIF419" s="832"/>
      <c r="AIG419" s="832"/>
      <c r="AIH419" s="832"/>
      <c r="AII419" s="832"/>
      <c r="AIJ419" s="832"/>
      <c r="AIK419" s="832"/>
      <c r="AIL419" s="832"/>
      <c r="AIM419" s="832"/>
      <c r="AIN419" s="832"/>
      <c r="AIO419" s="832"/>
      <c r="AIP419" s="832"/>
      <c r="AIQ419" s="832"/>
      <c r="AIR419" s="832"/>
      <c r="AIS419" s="832"/>
      <c r="AIT419" s="832"/>
      <c r="AIU419" s="832"/>
      <c r="AIV419" s="832"/>
      <c r="AIW419" s="832"/>
      <c r="AIX419" s="832"/>
      <c r="AIY419" s="832"/>
      <c r="AIZ419" s="832"/>
      <c r="AJA419" s="832"/>
      <c r="AJB419" s="832"/>
      <c r="AJC419" s="832"/>
      <c r="AJD419" s="832"/>
      <c r="AJE419" s="832"/>
      <c r="AJF419" s="832"/>
      <c r="AJG419" s="832"/>
      <c r="AJH419" s="832"/>
      <c r="AJI419" s="832"/>
      <c r="AJJ419" s="832"/>
      <c r="AJK419" s="832"/>
      <c r="AJL419" s="832"/>
      <c r="AJM419" s="832"/>
      <c r="AJN419" s="832"/>
      <c r="AJO419" s="832"/>
      <c r="AJP419" s="832"/>
      <c r="AJQ419" s="832"/>
      <c r="AJR419" s="832"/>
      <c r="AJS419" s="832"/>
      <c r="AJT419" s="832"/>
      <c r="AJU419" s="832"/>
      <c r="AJV419" s="832"/>
      <c r="AJW419" s="832"/>
      <c r="AJX419" s="832"/>
      <c r="AJY419" s="832"/>
      <c r="AJZ419" s="832"/>
      <c r="AKA419" s="832"/>
      <c r="AKB419" s="832"/>
      <c r="AKC419" s="832"/>
      <c r="AKD419" s="832"/>
      <c r="AKE419" s="832"/>
      <c r="AKF419" s="832"/>
      <c r="AKG419" s="832"/>
      <c r="AKH419" s="832"/>
      <c r="AKI419" s="832"/>
      <c r="AKJ419" s="832"/>
      <c r="AKK419" s="832"/>
      <c r="AKL419" s="832"/>
      <c r="AKM419" s="832"/>
      <c r="AKN419" s="832"/>
      <c r="AKO419" s="832"/>
      <c r="AKP419" s="832"/>
      <c r="AKQ419" s="832"/>
      <c r="AKR419" s="832"/>
      <c r="AKS419" s="832"/>
      <c r="AKT419" s="832"/>
      <c r="AKU419" s="832"/>
      <c r="AKV419" s="832"/>
      <c r="AKW419" s="832"/>
      <c r="AKX419" s="832"/>
      <c r="AKY419" s="832"/>
      <c r="AKZ419" s="832"/>
      <c r="ALA419" s="832"/>
      <c r="ALB419" s="832"/>
      <c r="ALC419" s="832"/>
      <c r="ALD419" s="832"/>
      <c r="ALE419" s="832"/>
      <c r="ALF419" s="832"/>
      <c r="ALG419" s="832"/>
      <c r="ALH419" s="832"/>
      <c r="ALI419" s="832"/>
      <c r="ALJ419" s="832"/>
      <c r="ALK419" s="832"/>
      <c r="ALL419" s="832"/>
      <c r="ALM419" s="832"/>
      <c r="ALN419" s="832"/>
      <c r="ALO419" s="832"/>
      <c r="ALP419" s="832"/>
      <c r="ALQ419" s="832"/>
      <c r="ALR419" s="832"/>
      <c r="ALS419" s="832"/>
      <c r="ALT419" s="832"/>
      <c r="ALU419" s="832"/>
      <c r="ALV419" s="832"/>
      <c r="ALW419" s="832"/>
      <c r="ALX419" s="832"/>
      <c r="ALY419" s="832"/>
      <c r="ALZ419" s="832"/>
      <c r="AMA419" s="832"/>
      <c r="AMB419" s="832"/>
      <c r="AMC419" s="832"/>
      <c r="AMD419" s="832"/>
      <c r="AME419" s="832"/>
      <c r="AMF419" s="832"/>
      <c r="AMG419" s="832"/>
      <c r="AMH419" s="832"/>
      <c r="AMI419" s="832"/>
      <c r="AMJ419" s="832"/>
      <c r="AMK419" s="832"/>
      <c r="AML419" s="832"/>
    </row>
    <row r="420" spans="1:1026" s="388" customFormat="1" ht="24.95" customHeight="1" outlineLevel="1">
      <c r="A420" s="885"/>
      <c r="B420" s="444" t="s">
        <v>1103</v>
      </c>
      <c r="C420" s="886" t="s">
        <v>1104</v>
      </c>
      <c r="D420" s="448" t="s">
        <v>1105</v>
      </c>
      <c r="E420" s="449" t="s">
        <v>27</v>
      </c>
      <c r="F420" s="992">
        <f>Plan1!D392</f>
        <v>8.5500000000000007</v>
      </c>
      <c r="G420" s="925">
        <f t="shared" si="123"/>
        <v>200.22</v>
      </c>
      <c r="H420" s="889">
        <f t="shared" si="124"/>
        <v>1711.8810000000001</v>
      </c>
      <c r="I420" s="885"/>
      <c r="J420" s="915">
        <v>158.13999999999999</v>
      </c>
      <c r="K420" s="916">
        <f t="shared" si="109"/>
        <v>200.22</v>
      </c>
      <c r="L420" s="832"/>
      <c r="M420" s="832"/>
      <c r="N420" s="832"/>
      <c r="O420" s="832"/>
      <c r="P420" s="832"/>
      <c r="Q420" s="832"/>
      <c r="R420" s="832"/>
      <c r="S420" s="832"/>
      <c r="T420" s="832"/>
      <c r="U420" s="832"/>
      <c r="V420" s="832"/>
      <c r="W420" s="832"/>
      <c r="X420" s="832"/>
      <c r="Y420" s="832"/>
      <c r="Z420" s="832"/>
      <c r="AA420" s="832"/>
      <c r="AB420" s="832"/>
      <c r="AC420" s="832"/>
      <c r="AD420" s="832"/>
      <c r="AE420" s="832"/>
      <c r="AF420" s="832"/>
      <c r="AG420" s="832"/>
      <c r="AH420" s="832"/>
      <c r="AI420" s="832"/>
      <c r="AJ420" s="832"/>
      <c r="AK420" s="832"/>
      <c r="AL420" s="832"/>
      <c r="AM420" s="832"/>
      <c r="AN420" s="832"/>
      <c r="AO420" s="832"/>
      <c r="AP420" s="832"/>
      <c r="AQ420" s="832"/>
      <c r="AR420" s="832"/>
      <c r="AS420" s="832"/>
      <c r="AT420" s="832"/>
      <c r="AU420" s="832"/>
      <c r="AV420" s="832"/>
      <c r="AW420" s="832"/>
      <c r="AX420" s="832"/>
      <c r="AY420" s="832"/>
      <c r="AZ420" s="832"/>
      <c r="BA420" s="832"/>
      <c r="BB420" s="832"/>
      <c r="BC420" s="832"/>
      <c r="BD420" s="832"/>
      <c r="BE420" s="832"/>
      <c r="BF420" s="832"/>
      <c r="BG420" s="832"/>
      <c r="BH420" s="832"/>
      <c r="BI420" s="832"/>
      <c r="BJ420" s="832"/>
      <c r="BK420" s="832"/>
      <c r="BL420" s="832"/>
      <c r="BM420" s="832"/>
      <c r="BN420" s="832"/>
      <c r="BO420" s="832"/>
      <c r="BP420" s="832"/>
      <c r="BQ420" s="832"/>
      <c r="BR420" s="832"/>
      <c r="BS420" s="832"/>
      <c r="BT420" s="832"/>
      <c r="BU420" s="832"/>
      <c r="BV420" s="832"/>
      <c r="BW420" s="832"/>
      <c r="BX420" s="832"/>
      <c r="BY420" s="832"/>
      <c r="BZ420" s="832"/>
      <c r="CA420" s="832"/>
      <c r="CB420" s="832"/>
      <c r="CC420" s="832"/>
      <c r="CD420" s="832"/>
      <c r="CE420" s="832"/>
      <c r="CF420" s="832"/>
      <c r="CG420" s="832"/>
      <c r="CH420" s="832"/>
      <c r="CI420" s="832"/>
      <c r="CJ420" s="832"/>
      <c r="CK420" s="832"/>
      <c r="CL420" s="832"/>
      <c r="CM420" s="832"/>
      <c r="CN420" s="832"/>
      <c r="CO420" s="832"/>
      <c r="CP420" s="832"/>
      <c r="CQ420" s="832"/>
      <c r="CR420" s="832"/>
      <c r="CS420" s="832"/>
      <c r="CT420" s="832"/>
      <c r="CU420" s="832"/>
      <c r="CV420" s="832"/>
      <c r="CW420" s="832"/>
      <c r="CX420" s="832"/>
      <c r="CY420" s="832"/>
      <c r="CZ420" s="832"/>
      <c r="DA420" s="832"/>
      <c r="DB420" s="832"/>
      <c r="DC420" s="832"/>
      <c r="DD420" s="832"/>
      <c r="DE420" s="832"/>
      <c r="DF420" s="832"/>
      <c r="DG420" s="832"/>
      <c r="DH420" s="832"/>
      <c r="DI420" s="832"/>
      <c r="DJ420" s="832"/>
      <c r="DK420" s="832"/>
      <c r="DL420" s="832"/>
      <c r="DM420" s="832"/>
      <c r="DN420" s="832"/>
      <c r="DO420" s="832"/>
      <c r="DP420" s="832"/>
      <c r="DQ420" s="832"/>
      <c r="DR420" s="832"/>
      <c r="DS420" s="832"/>
      <c r="DT420" s="832"/>
      <c r="DU420" s="832"/>
      <c r="DV420" s="832"/>
      <c r="DW420" s="832"/>
      <c r="DX420" s="832"/>
      <c r="DY420" s="832"/>
      <c r="DZ420" s="832"/>
      <c r="EA420" s="832"/>
      <c r="EB420" s="832"/>
      <c r="EC420" s="832"/>
      <c r="ED420" s="832"/>
      <c r="EE420" s="832"/>
      <c r="EF420" s="832"/>
      <c r="EG420" s="832"/>
      <c r="EH420" s="832"/>
      <c r="EI420" s="832"/>
      <c r="EJ420" s="832"/>
      <c r="EK420" s="832"/>
      <c r="EL420" s="832"/>
      <c r="EM420" s="832"/>
      <c r="EN420" s="832"/>
      <c r="EO420" s="832"/>
      <c r="EP420" s="832"/>
      <c r="EQ420" s="832"/>
      <c r="ER420" s="832"/>
      <c r="ES420" s="832"/>
      <c r="ET420" s="832"/>
      <c r="EU420" s="832"/>
      <c r="EV420" s="832"/>
      <c r="EW420" s="832"/>
      <c r="EX420" s="832"/>
      <c r="EY420" s="832"/>
      <c r="EZ420" s="832"/>
      <c r="FA420" s="832"/>
      <c r="FB420" s="832"/>
      <c r="FC420" s="832"/>
      <c r="FD420" s="832"/>
      <c r="FE420" s="832"/>
      <c r="FF420" s="832"/>
      <c r="FG420" s="832"/>
      <c r="FH420" s="832"/>
      <c r="FI420" s="832"/>
      <c r="FJ420" s="832"/>
      <c r="FK420" s="832"/>
      <c r="FL420" s="832"/>
      <c r="FM420" s="832"/>
      <c r="FN420" s="832"/>
      <c r="FO420" s="832"/>
      <c r="FP420" s="832"/>
      <c r="FQ420" s="832"/>
      <c r="FR420" s="832"/>
      <c r="FS420" s="832"/>
      <c r="FT420" s="832"/>
      <c r="FU420" s="832"/>
      <c r="FV420" s="832"/>
      <c r="FW420" s="832"/>
      <c r="FX420" s="832"/>
      <c r="FY420" s="832"/>
      <c r="FZ420" s="832"/>
      <c r="GA420" s="832"/>
      <c r="GB420" s="832"/>
      <c r="GC420" s="832"/>
      <c r="GD420" s="832"/>
      <c r="GE420" s="832"/>
      <c r="GF420" s="832"/>
      <c r="GG420" s="832"/>
      <c r="GH420" s="832"/>
      <c r="GI420" s="832"/>
      <c r="GJ420" s="832"/>
      <c r="GK420" s="832"/>
      <c r="GL420" s="832"/>
      <c r="GM420" s="832"/>
      <c r="GN420" s="832"/>
      <c r="GO420" s="832"/>
      <c r="GP420" s="832"/>
      <c r="GQ420" s="832"/>
      <c r="GR420" s="832"/>
      <c r="GS420" s="832"/>
      <c r="GT420" s="832"/>
      <c r="GU420" s="832"/>
      <c r="GV420" s="832"/>
      <c r="GW420" s="832"/>
      <c r="GX420" s="832"/>
      <c r="GY420" s="832"/>
      <c r="GZ420" s="832"/>
      <c r="HA420" s="832"/>
      <c r="HB420" s="832"/>
      <c r="HC420" s="832"/>
      <c r="HD420" s="832"/>
      <c r="HE420" s="832"/>
      <c r="HF420" s="832"/>
      <c r="HG420" s="832"/>
      <c r="HH420" s="832"/>
      <c r="HI420" s="832"/>
      <c r="HJ420" s="832"/>
      <c r="HK420" s="832"/>
      <c r="HL420" s="832"/>
      <c r="HM420" s="832"/>
      <c r="HN420" s="832"/>
      <c r="HO420" s="832"/>
      <c r="HP420" s="832"/>
      <c r="HQ420" s="832"/>
      <c r="HR420" s="832"/>
      <c r="HS420" s="832"/>
      <c r="HT420" s="832"/>
      <c r="HU420" s="832"/>
      <c r="HV420" s="832"/>
      <c r="HW420" s="832"/>
      <c r="HX420" s="832"/>
      <c r="HY420" s="832"/>
      <c r="HZ420" s="832"/>
      <c r="IA420" s="832"/>
      <c r="IB420" s="832"/>
      <c r="IC420" s="832"/>
      <c r="ID420" s="832"/>
      <c r="IE420" s="832"/>
      <c r="IF420" s="832"/>
      <c r="IG420" s="832"/>
      <c r="IH420" s="832"/>
      <c r="II420" s="832"/>
      <c r="IJ420" s="832"/>
      <c r="IK420" s="832"/>
      <c r="IL420" s="832"/>
      <c r="IM420" s="832"/>
      <c r="IN420" s="832"/>
      <c r="IO420" s="832"/>
      <c r="IP420" s="832"/>
      <c r="IQ420" s="832"/>
      <c r="IR420" s="832"/>
      <c r="IS420" s="832"/>
      <c r="IT420" s="832"/>
      <c r="IU420" s="832"/>
      <c r="IV420" s="832"/>
      <c r="IW420" s="832"/>
      <c r="IX420" s="832"/>
      <c r="IY420" s="832"/>
      <c r="IZ420" s="832"/>
      <c r="JA420" s="832"/>
      <c r="JB420" s="832"/>
      <c r="JC420" s="832"/>
      <c r="JD420" s="832"/>
      <c r="JE420" s="832"/>
      <c r="JF420" s="832"/>
      <c r="JG420" s="832"/>
      <c r="JH420" s="832"/>
      <c r="JI420" s="832"/>
      <c r="JJ420" s="832"/>
      <c r="JK420" s="832"/>
      <c r="JL420" s="832"/>
      <c r="JM420" s="832"/>
      <c r="JN420" s="832"/>
      <c r="JO420" s="832"/>
      <c r="JP420" s="832"/>
      <c r="JQ420" s="832"/>
      <c r="JR420" s="832"/>
      <c r="JS420" s="832"/>
      <c r="JT420" s="832"/>
      <c r="JU420" s="832"/>
      <c r="JV420" s="832"/>
      <c r="JW420" s="832"/>
      <c r="JX420" s="832"/>
      <c r="JY420" s="832"/>
      <c r="JZ420" s="832"/>
      <c r="KA420" s="832"/>
      <c r="KB420" s="832"/>
      <c r="KC420" s="832"/>
      <c r="KD420" s="832"/>
      <c r="KE420" s="832"/>
      <c r="KF420" s="832"/>
      <c r="KG420" s="832"/>
      <c r="KH420" s="832"/>
      <c r="KI420" s="832"/>
      <c r="KJ420" s="832"/>
      <c r="KK420" s="832"/>
      <c r="KL420" s="832"/>
      <c r="KM420" s="832"/>
      <c r="KN420" s="832"/>
      <c r="KO420" s="832"/>
      <c r="KP420" s="832"/>
      <c r="KQ420" s="832"/>
      <c r="KR420" s="832"/>
      <c r="KS420" s="832"/>
      <c r="KT420" s="832"/>
      <c r="KU420" s="832"/>
      <c r="KV420" s="832"/>
      <c r="KW420" s="832"/>
      <c r="KX420" s="832"/>
      <c r="KY420" s="832"/>
      <c r="KZ420" s="832"/>
      <c r="LA420" s="832"/>
      <c r="LB420" s="832"/>
      <c r="LC420" s="832"/>
      <c r="LD420" s="832"/>
      <c r="LE420" s="832"/>
      <c r="LF420" s="832"/>
      <c r="LG420" s="832"/>
      <c r="LH420" s="832"/>
      <c r="LI420" s="832"/>
      <c r="LJ420" s="832"/>
      <c r="LK420" s="832"/>
      <c r="LL420" s="832"/>
      <c r="LM420" s="832"/>
      <c r="LN420" s="832"/>
      <c r="LO420" s="832"/>
      <c r="LP420" s="832"/>
      <c r="LQ420" s="832"/>
      <c r="LR420" s="832"/>
      <c r="LS420" s="832"/>
      <c r="LT420" s="832"/>
      <c r="LU420" s="832"/>
      <c r="LV420" s="832"/>
      <c r="LW420" s="832"/>
      <c r="LX420" s="832"/>
      <c r="LY420" s="832"/>
      <c r="LZ420" s="832"/>
      <c r="MA420" s="832"/>
      <c r="MB420" s="832"/>
      <c r="MC420" s="832"/>
      <c r="MD420" s="832"/>
      <c r="ME420" s="832"/>
      <c r="MF420" s="832"/>
      <c r="MG420" s="832"/>
      <c r="MH420" s="832"/>
      <c r="MI420" s="832"/>
      <c r="MJ420" s="832"/>
      <c r="MK420" s="832"/>
      <c r="ML420" s="832"/>
      <c r="MM420" s="832"/>
      <c r="MN420" s="832"/>
      <c r="MO420" s="832"/>
      <c r="MP420" s="832"/>
      <c r="MQ420" s="832"/>
      <c r="MR420" s="832"/>
      <c r="MS420" s="832"/>
      <c r="MT420" s="832"/>
      <c r="MU420" s="832"/>
      <c r="MV420" s="832"/>
      <c r="MW420" s="832"/>
      <c r="MX420" s="832"/>
      <c r="MY420" s="832"/>
      <c r="MZ420" s="832"/>
      <c r="NA420" s="832"/>
      <c r="NB420" s="832"/>
      <c r="NC420" s="832"/>
      <c r="ND420" s="832"/>
      <c r="NE420" s="832"/>
      <c r="NF420" s="832"/>
      <c r="NG420" s="832"/>
      <c r="NH420" s="832"/>
      <c r="NI420" s="832"/>
      <c r="NJ420" s="832"/>
      <c r="NK420" s="832"/>
      <c r="NL420" s="832"/>
      <c r="NM420" s="832"/>
      <c r="NN420" s="832"/>
      <c r="NO420" s="832"/>
      <c r="NP420" s="832"/>
      <c r="NQ420" s="832"/>
      <c r="NR420" s="832"/>
      <c r="NS420" s="832"/>
      <c r="NT420" s="832"/>
      <c r="NU420" s="832"/>
      <c r="NV420" s="832"/>
      <c r="NW420" s="832"/>
      <c r="NX420" s="832"/>
      <c r="NY420" s="832"/>
      <c r="NZ420" s="832"/>
      <c r="OA420" s="832"/>
      <c r="OB420" s="832"/>
      <c r="OC420" s="832"/>
      <c r="OD420" s="832"/>
      <c r="OE420" s="832"/>
      <c r="OF420" s="832"/>
      <c r="OG420" s="832"/>
      <c r="OH420" s="832"/>
      <c r="OI420" s="832"/>
      <c r="OJ420" s="832"/>
      <c r="OK420" s="832"/>
      <c r="OL420" s="832"/>
      <c r="OM420" s="832"/>
      <c r="ON420" s="832"/>
      <c r="OO420" s="832"/>
      <c r="OP420" s="832"/>
      <c r="OQ420" s="832"/>
      <c r="OR420" s="832"/>
      <c r="OS420" s="832"/>
      <c r="OT420" s="832"/>
      <c r="OU420" s="832"/>
      <c r="OV420" s="832"/>
      <c r="OW420" s="832"/>
      <c r="OX420" s="832"/>
      <c r="OY420" s="832"/>
      <c r="OZ420" s="832"/>
      <c r="PA420" s="832"/>
      <c r="PB420" s="832"/>
      <c r="PC420" s="832"/>
      <c r="PD420" s="832"/>
      <c r="PE420" s="832"/>
      <c r="PF420" s="832"/>
      <c r="PG420" s="832"/>
      <c r="PH420" s="832"/>
      <c r="PI420" s="832"/>
      <c r="PJ420" s="832"/>
      <c r="PK420" s="832"/>
      <c r="PL420" s="832"/>
      <c r="PM420" s="832"/>
      <c r="PN420" s="832"/>
      <c r="PO420" s="832"/>
      <c r="PP420" s="832"/>
      <c r="PQ420" s="832"/>
      <c r="PR420" s="832"/>
      <c r="PS420" s="832"/>
      <c r="PT420" s="832"/>
      <c r="PU420" s="832"/>
      <c r="PV420" s="832"/>
      <c r="PW420" s="832"/>
      <c r="PX420" s="832"/>
      <c r="PY420" s="832"/>
      <c r="PZ420" s="832"/>
      <c r="QA420" s="832"/>
      <c r="QB420" s="832"/>
      <c r="QC420" s="832"/>
      <c r="QD420" s="832"/>
      <c r="QE420" s="832"/>
      <c r="QF420" s="832"/>
      <c r="QG420" s="832"/>
      <c r="QH420" s="832"/>
      <c r="QI420" s="832"/>
      <c r="QJ420" s="832"/>
      <c r="QK420" s="832"/>
      <c r="QL420" s="832"/>
      <c r="QM420" s="832"/>
      <c r="QN420" s="832"/>
      <c r="QO420" s="832"/>
      <c r="QP420" s="832"/>
      <c r="QQ420" s="832"/>
      <c r="QR420" s="832"/>
      <c r="QS420" s="832"/>
      <c r="QT420" s="832"/>
      <c r="QU420" s="832"/>
      <c r="QV420" s="832"/>
      <c r="QW420" s="832"/>
      <c r="QX420" s="832"/>
      <c r="QY420" s="832"/>
      <c r="QZ420" s="832"/>
      <c r="RA420" s="832"/>
      <c r="RB420" s="832"/>
      <c r="RC420" s="832"/>
      <c r="RD420" s="832"/>
      <c r="RE420" s="832"/>
      <c r="RF420" s="832"/>
      <c r="RG420" s="832"/>
      <c r="RH420" s="832"/>
      <c r="RI420" s="832"/>
      <c r="RJ420" s="832"/>
      <c r="RK420" s="832"/>
      <c r="RL420" s="832"/>
      <c r="RM420" s="832"/>
      <c r="RN420" s="832"/>
      <c r="RO420" s="832"/>
      <c r="RP420" s="832"/>
      <c r="RQ420" s="832"/>
      <c r="RR420" s="832"/>
      <c r="RS420" s="832"/>
      <c r="RT420" s="832"/>
      <c r="RU420" s="832"/>
      <c r="RV420" s="832"/>
      <c r="RW420" s="832"/>
      <c r="RX420" s="832"/>
      <c r="RY420" s="832"/>
      <c r="RZ420" s="832"/>
      <c r="SA420" s="832"/>
      <c r="SB420" s="832"/>
      <c r="SC420" s="832"/>
      <c r="SD420" s="832"/>
      <c r="SE420" s="832"/>
      <c r="SF420" s="832"/>
      <c r="SG420" s="832"/>
      <c r="SH420" s="832"/>
      <c r="SI420" s="832"/>
      <c r="SJ420" s="832"/>
      <c r="SK420" s="832"/>
      <c r="SL420" s="832"/>
      <c r="SM420" s="832"/>
      <c r="SN420" s="832"/>
      <c r="SO420" s="832"/>
      <c r="SP420" s="832"/>
      <c r="SQ420" s="832"/>
      <c r="SR420" s="832"/>
      <c r="SS420" s="832"/>
      <c r="ST420" s="832"/>
      <c r="SU420" s="832"/>
      <c r="SV420" s="832"/>
      <c r="SW420" s="832"/>
      <c r="SX420" s="832"/>
      <c r="SY420" s="832"/>
      <c r="SZ420" s="832"/>
      <c r="TA420" s="832"/>
      <c r="TB420" s="832"/>
      <c r="TC420" s="832"/>
      <c r="TD420" s="832"/>
      <c r="TE420" s="832"/>
      <c r="TF420" s="832"/>
      <c r="TG420" s="832"/>
      <c r="TH420" s="832"/>
      <c r="TI420" s="832"/>
      <c r="TJ420" s="832"/>
      <c r="TK420" s="832"/>
      <c r="TL420" s="832"/>
      <c r="TM420" s="832"/>
      <c r="TN420" s="832"/>
      <c r="TO420" s="832"/>
      <c r="TP420" s="832"/>
      <c r="TQ420" s="832"/>
      <c r="TR420" s="832"/>
      <c r="TS420" s="832"/>
      <c r="TT420" s="832"/>
      <c r="TU420" s="832"/>
      <c r="TV420" s="832"/>
      <c r="TW420" s="832"/>
      <c r="TX420" s="832"/>
      <c r="TY420" s="832"/>
      <c r="TZ420" s="832"/>
      <c r="UA420" s="832"/>
      <c r="UB420" s="832"/>
      <c r="UC420" s="832"/>
      <c r="UD420" s="832"/>
      <c r="UE420" s="832"/>
      <c r="UF420" s="832"/>
      <c r="UG420" s="832"/>
      <c r="UH420" s="832"/>
      <c r="UI420" s="832"/>
      <c r="UJ420" s="832"/>
      <c r="UK420" s="832"/>
      <c r="UL420" s="832"/>
      <c r="UM420" s="832"/>
      <c r="UN420" s="832"/>
      <c r="UO420" s="832"/>
      <c r="UP420" s="832"/>
      <c r="UQ420" s="832"/>
      <c r="UR420" s="832"/>
      <c r="US420" s="832"/>
      <c r="UT420" s="832"/>
      <c r="UU420" s="832"/>
      <c r="UV420" s="832"/>
      <c r="UW420" s="832"/>
      <c r="UX420" s="832"/>
      <c r="UY420" s="832"/>
      <c r="UZ420" s="832"/>
      <c r="VA420" s="832"/>
      <c r="VB420" s="832"/>
      <c r="VC420" s="832"/>
      <c r="VD420" s="832"/>
      <c r="VE420" s="832"/>
      <c r="VF420" s="832"/>
      <c r="VG420" s="832"/>
      <c r="VH420" s="832"/>
      <c r="VI420" s="832"/>
      <c r="VJ420" s="832"/>
      <c r="VK420" s="832"/>
      <c r="VL420" s="832"/>
      <c r="VM420" s="832"/>
      <c r="VN420" s="832"/>
      <c r="VO420" s="832"/>
      <c r="VP420" s="832"/>
      <c r="VQ420" s="832"/>
      <c r="VR420" s="832"/>
      <c r="VS420" s="832"/>
      <c r="VT420" s="832"/>
      <c r="VU420" s="832"/>
      <c r="VV420" s="832"/>
      <c r="VW420" s="832"/>
      <c r="VX420" s="832"/>
      <c r="VY420" s="832"/>
      <c r="VZ420" s="832"/>
      <c r="WA420" s="832"/>
      <c r="WB420" s="832"/>
      <c r="WC420" s="832"/>
      <c r="WD420" s="832"/>
      <c r="WE420" s="832"/>
      <c r="WF420" s="832"/>
      <c r="WG420" s="832"/>
      <c r="WH420" s="832"/>
      <c r="WI420" s="832"/>
      <c r="WJ420" s="832"/>
      <c r="WK420" s="832"/>
      <c r="WL420" s="832"/>
      <c r="WM420" s="832"/>
      <c r="WN420" s="832"/>
      <c r="WO420" s="832"/>
      <c r="WP420" s="832"/>
      <c r="WQ420" s="832"/>
      <c r="WR420" s="832"/>
      <c r="WS420" s="832"/>
      <c r="WT420" s="832"/>
      <c r="WU420" s="832"/>
      <c r="WV420" s="832"/>
      <c r="WW420" s="832"/>
      <c r="WX420" s="832"/>
      <c r="WY420" s="832"/>
      <c r="WZ420" s="832"/>
      <c r="XA420" s="832"/>
      <c r="XB420" s="832"/>
      <c r="XC420" s="832"/>
      <c r="XD420" s="832"/>
      <c r="XE420" s="832"/>
      <c r="XF420" s="832"/>
      <c r="XG420" s="832"/>
      <c r="XH420" s="832"/>
      <c r="XI420" s="832"/>
      <c r="XJ420" s="832"/>
      <c r="XK420" s="832"/>
      <c r="XL420" s="832"/>
      <c r="XM420" s="832"/>
      <c r="XN420" s="832"/>
      <c r="XO420" s="832"/>
      <c r="XP420" s="832"/>
      <c r="XQ420" s="832"/>
      <c r="XR420" s="832"/>
      <c r="XS420" s="832"/>
      <c r="XT420" s="832"/>
      <c r="XU420" s="832"/>
      <c r="XV420" s="832"/>
      <c r="XW420" s="832"/>
      <c r="XX420" s="832"/>
      <c r="XY420" s="832"/>
      <c r="XZ420" s="832"/>
      <c r="YA420" s="832"/>
      <c r="YB420" s="832"/>
      <c r="YC420" s="832"/>
      <c r="YD420" s="832"/>
      <c r="YE420" s="832"/>
      <c r="YF420" s="832"/>
      <c r="YG420" s="832"/>
      <c r="YH420" s="832"/>
      <c r="YI420" s="832"/>
      <c r="YJ420" s="832"/>
      <c r="YK420" s="832"/>
      <c r="YL420" s="832"/>
      <c r="YM420" s="832"/>
      <c r="YN420" s="832"/>
      <c r="YO420" s="832"/>
      <c r="YP420" s="832"/>
      <c r="YQ420" s="832"/>
      <c r="YR420" s="832"/>
      <c r="YS420" s="832"/>
      <c r="YT420" s="832"/>
      <c r="YU420" s="832"/>
      <c r="YV420" s="832"/>
      <c r="YW420" s="832"/>
      <c r="YX420" s="832"/>
      <c r="YY420" s="832"/>
      <c r="YZ420" s="832"/>
      <c r="ZA420" s="832"/>
      <c r="ZB420" s="832"/>
      <c r="ZC420" s="832"/>
      <c r="ZD420" s="832"/>
      <c r="ZE420" s="832"/>
      <c r="ZF420" s="832"/>
      <c r="ZG420" s="832"/>
      <c r="ZH420" s="832"/>
      <c r="ZI420" s="832"/>
      <c r="ZJ420" s="832"/>
      <c r="ZK420" s="832"/>
      <c r="ZL420" s="832"/>
      <c r="ZM420" s="832"/>
      <c r="ZN420" s="832"/>
      <c r="ZO420" s="832"/>
      <c r="ZP420" s="832"/>
      <c r="ZQ420" s="832"/>
      <c r="ZR420" s="832"/>
      <c r="ZS420" s="832"/>
      <c r="ZT420" s="832"/>
      <c r="ZU420" s="832"/>
      <c r="ZV420" s="832"/>
      <c r="ZW420" s="832"/>
      <c r="ZX420" s="832"/>
      <c r="ZY420" s="832"/>
      <c r="ZZ420" s="832"/>
      <c r="AAA420" s="832"/>
      <c r="AAB420" s="832"/>
      <c r="AAC420" s="832"/>
      <c r="AAD420" s="832"/>
      <c r="AAE420" s="832"/>
      <c r="AAF420" s="832"/>
      <c r="AAG420" s="832"/>
      <c r="AAH420" s="832"/>
      <c r="AAI420" s="832"/>
      <c r="AAJ420" s="832"/>
      <c r="AAK420" s="832"/>
      <c r="AAL420" s="832"/>
      <c r="AAM420" s="832"/>
      <c r="AAN420" s="832"/>
      <c r="AAO420" s="832"/>
      <c r="AAP420" s="832"/>
      <c r="AAQ420" s="832"/>
      <c r="AAR420" s="832"/>
      <c r="AAS420" s="832"/>
      <c r="AAT420" s="832"/>
      <c r="AAU420" s="832"/>
      <c r="AAV420" s="832"/>
      <c r="AAW420" s="832"/>
      <c r="AAX420" s="832"/>
      <c r="AAY420" s="832"/>
      <c r="AAZ420" s="832"/>
      <c r="ABA420" s="832"/>
      <c r="ABB420" s="832"/>
      <c r="ABC420" s="832"/>
      <c r="ABD420" s="832"/>
      <c r="ABE420" s="832"/>
      <c r="ABF420" s="832"/>
      <c r="ABG420" s="832"/>
      <c r="ABH420" s="832"/>
      <c r="ABI420" s="832"/>
      <c r="ABJ420" s="832"/>
      <c r="ABK420" s="832"/>
      <c r="ABL420" s="832"/>
      <c r="ABM420" s="832"/>
      <c r="ABN420" s="832"/>
      <c r="ABO420" s="832"/>
      <c r="ABP420" s="832"/>
      <c r="ABQ420" s="832"/>
      <c r="ABR420" s="832"/>
      <c r="ABS420" s="832"/>
      <c r="ABT420" s="832"/>
      <c r="ABU420" s="832"/>
      <c r="ABV420" s="832"/>
      <c r="ABW420" s="832"/>
      <c r="ABX420" s="832"/>
      <c r="ABY420" s="832"/>
      <c r="ABZ420" s="832"/>
      <c r="ACA420" s="832"/>
      <c r="ACB420" s="832"/>
      <c r="ACC420" s="832"/>
      <c r="ACD420" s="832"/>
      <c r="ACE420" s="832"/>
      <c r="ACF420" s="832"/>
      <c r="ACG420" s="832"/>
      <c r="ACH420" s="832"/>
      <c r="ACI420" s="832"/>
      <c r="ACJ420" s="832"/>
      <c r="ACK420" s="832"/>
      <c r="ACL420" s="832"/>
      <c r="ACM420" s="832"/>
      <c r="ACN420" s="832"/>
      <c r="ACO420" s="832"/>
      <c r="ACP420" s="832"/>
      <c r="ACQ420" s="832"/>
      <c r="ACR420" s="832"/>
      <c r="ACS420" s="832"/>
      <c r="ACT420" s="832"/>
      <c r="ACU420" s="832"/>
      <c r="ACV420" s="832"/>
      <c r="ACW420" s="832"/>
      <c r="ACX420" s="832"/>
      <c r="ACY420" s="832"/>
      <c r="ACZ420" s="832"/>
      <c r="ADA420" s="832"/>
      <c r="ADB420" s="832"/>
      <c r="ADC420" s="832"/>
      <c r="ADD420" s="832"/>
      <c r="ADE420" s="832"/>
      <c r="ADF420" s="832"/>
      <c r="ADG420" s="832"/>
      <c r="ADH420" s="832"/>
      <c r="ADI420" s="832"/>
      <c r="ADJ420" s="832"/>
      <c r="ADK420" s="832"/>
      <c r="ADL420" s="832"/>
      <c r="ADM420" s="832"/>
      <c r="ADN420" s="832"/>
      <c r="ADO420" s="832"/>
      <c r="ADP420" s="832"/>
      <c r="ADQ420" s="832"/>
      <c r="ADR420" s="832"/>
      <c r="ADS420" s="832"/>
      <c r="ADT420" s="832"/>
      <c r="ADU420" s="832"/>
      <c r="ADV420" s="832"/>
      <c r="ADW420" s="832"/>
      <c r="ADX420" s="832"/>
      <c r="ADY420" s="832"/>
      <c r="ADZ420" s="832"/>
      <c r="AEA420" s="832"/>
      <c r="AEB420" s="832"/>
      <c r="AEC420" s="832"/>
      <c r="AED420" s="832"/>
      <c r="AEE420" s="832"/>
      <c r="AEF420" s="832"/>
      <c r="AEG420" s="832"/>
      <c r="AEH420" s="832"/>
      <c r="AEI420" s="832"/>
      <c r="AEJ420" s="832"/>
      <c r="AEK420" s="832"/>
      <c r="AEL420" s="832"/>
      <c r="AEM420" s="832"/>
      <c r="AEN420" s="832"/>
      <c r="AEO420" s="832"/>
      <c r="AEP420" s="832"/>
      <c r="AEQ420" s="832"/>
      <c r="AER420" s="832"/>
      <c r="AES420" s="832"/>
      <c r="AET420" s="832"/>
      <c r="AEU420" s="832"/>
      <c r="AEV420" s="832"/>
      <c r="AEW420" s="832"/>
      <c r="AEX420" s="832"/>
      <c r="AEY420" s="832"/>
      <c r="AEZ420" s="832"/>
      <c r="AFA420" s="832"/>
      <c r="AFB420" s="832"/>
      <c r="AFC420" s="832"/>
      <c r="AFD420" s="832"/>
      <c r="AFE420" s="832"/>
      <c r="AFF420" s="832"/>
      <c r="AFG420" s="832"/>
      <c r="AFH420" s="832"/>
      <c r="AFI420" s="832"/>
      <c r="AFJ420" s="832"/>
      <c r="AFK420" s="832"/>
      <c r="AFL420" s="832"/>
      <c r="AFM420" s="832"/>
      <c r="AFN420" s="832"/>
      <c r="AFO420" s="832"/>
      <c r="AFP420" s="832"/>
      <c r="AFQ420" s="832"/>
      <c r="AFR420" s="832"/>
      <c r="AFS420" s="832"/>
      <c r="AFT420" s="832"/>
      <c r="AFU420" s="832"/>
      <c r="AFV420" s="832"/>
      <c r="AFW420" s="832"/>
      <c r="AFX420" s="832"/>
      <c r="AFY420" s="832"/>
      <c r="AFZ420" s="832"/>
      <c r="AGA420" s="832"/>
      <c r="AGB420" s="832"/>
      <c r="AGC420" s="832"/>
      <c r="AGD420" s="832"/>
      <c r="AGE420" s="832"/>
      <c r="AGF420" s="832"/>
      <c r="AGG420" s="832"/>
      <c r="AGH420" s="832"/>
      <c r="AGI420" s="832"/>
      <c r="AGJ420" s="832"/>
      <c r="AGK420" s="832"/>
      <c r="AGL420" s="832"/>
      <c r="AGM420" s="832"/>
      <c r="AGN420" s="832"/>
      <c r="AGO420" s="832"/>
      <c r="AGP420" s="832"/>
      <c r="AGQ420" s="832"/>
      <c r="AGR420" s="832"/>
      <c r="AGS420" s="832"/>
      <c r="AGT420" s="832"/>
      <c r="AGU420" s="832"/>
      <c r="AGV420" s="832"/>
      <c r="AGW420" s="832"/>
      <c r="AGX420" s="832"/>
      <c r="AGY420" s="832"/>
      <c r="AGZ420" s="832"/>
      <c r="AHA420" s="832"/>
      <c r="AHB420" s="832"/>
      <c r="AHC420" s="832"/>
      <c r="AHD420" s="832"/>
      <c r="AHE420" s="832"/>
      <c r="AHF420" s="832"/>
      <c r="AHG420" s="832"/>
      <c r="AHH420" s="832"/>
      <c r="AHI420" s="832"/>
      <c r="AHJ420" s="832"/>
      <c r="AHK420" s="832"/>
      <c r="AHL420" s="832"/>
      <c r="AHM420" s="832"/>
      <c r="AHN420" s="832"/>
      <c r="AHO420" s="832"/>
      <c r="AHP420" s="832"/>
      <c r="AHQ420" s="832"/>
      <c r="AHR420" s="832"/>
      <c r="AHS420" s="832"/>
      <c r="AHT420" s="832"/>
      <c r="AHU420" s="832"/>
      <c r="AHV420" s="832"/>
      <c r="AHW420" s="832"/>
      <c r="AHX420" s="832"/>
      <c r="AHY420" s="832"/>
      <c r="AHZ420" s="832"/>
      <c r="AIA420" s="832"/>
      <c r="AIB420" s="832"/>
      <c r="AIC420" s="832"/>
      <c r="AID420" s="832"/>
      <c r="AIE420" s="832"/>
      <c r="AIF420" s="832"/>
      <c r="AIG420" s="832"/>
      <c r="AIH420" s="832"/>
      <c r="AII420" s="832"/>
      <c r="AIJ420" s="832"/>
      <c r="AIK420" s="832"/>
      <c r="AIL420" s="832"/>
      <c r="AIM420" s="832"/>
      <c r="AIN420" s="832"/>
      <c r="AIO420" s="832"/>
      <c r="AIP420" s="832"/>
      <c r="AIQ420" s="832"/>
      <c r="AIR420" s="832"/>
      <c r="AIS420" s="832"/>
      <c r="AIT420" s="832"/>
      <c r="AIU420" s="832"/>
      <c r="AIV420" s="832"/>
      <c r="AIW420" s="832"/>
      <c r="AIX420" s="832"/>
      <c r="AIY420" s="832"/>
      <c r="AIZ420" s="832"/>
      <c r="AJA420" s="832"/>
      <c r="AJB420" s="832"/>
      <c r="AJC420" s="832"/>
      <c r="AJD420" s="832"/>
      <c r="AJE420" s="832"/>
      <c r="AJF420" s="832"/>
      <c r="AJG420" s="832"/>
      <c r="AJH420" s="832"/>
      <c r="AJI420" s="832"/>
      <c r="AJJ420" s="832"/>
      <c r="AJK420" s="832"/>
      <c r="AJL420" s="832"/>
      <c r="AJM420" s="832"/>
      <c r="AJN420" s="832"/>
      <c r="AJO420" s="832"/>
      <c r="AJP420" s="832"/>
      <c r="AJQ420" s="832"/>
      <c r="AJR420" s="832"/>
      <c r="AJS420" s="832"/>
      <c r="AJT420" s="832"/>
      <c r="AJU420" s="832"/>
      <c r="AJV420" s="832"/>
      <c r="AJW420" s="832"/>
      <c r="AJX420" s="832"/>
      <c r="AJY420" s="832"/>
      <c r="AJZ420" s="832"/>
      <c r="AKA420" s="832"/>
      <c r="AKB420" s="832"/>
      <c r="AKC420" s="832"/>
      <c r="AKD420" s="832"/>
      <c r="AKE420" s="832"/>
      <c r="AKF420" s="832"/>
      <c r="AKG420" s="832"/>
      <c r="AKH420" s="832"/>
      <c r="AKI420" s="832"/>
      <c r="AKJ420" s="832"/>
      <c r="AKK420" s="832"/>
      <c r="AKL420" s="832"/>
      <c r="AKM420" s="832"/>
      <c r="AKN420" s="832"/>
      <c r="AKO420" s="832"/>
      <c r="AKP420" s="832"/>
      <c r="AKQ420" s="832"/>
      <c r="AKR420" s="832"/>
      <c r="AKS420" s="832"/>
      <c r="AKT420" s="832"/>
      <c r="AKU420" s="832"/>
      <c r="AKV420" s="832"/>
      <c r="AKW420" s="832"/>
      <c r="AKX420" s="832"/>
      <c r="AKY420" s="832"/>
      <c r="AKZ420" s="832"/>
      <c r="ALA420" s="832"/>
      <c r="ALB420" s="832"/>
      <c r="ALC420" s="832"/>
      <c r="ALD420" s="832"/>
      <c r="ALE420" s="832"/>
      <c r="ALF420" s="832"/>
      <c r="ALG420" s="832"/>
      <c r="ALH420" s="832"/>
      <c r="ALI420" s="832"/>
      <c r="ALJ420" s="832"/>
      <c r="ALK420" s="832"/>
      <c r="ALL420" s="832"/>
      <c r="ALM420" s="832"/>
      <c r="ALN420" s="832"/>
      <c r="ALO420" s="832"/>
      <c r="ALP420" s="832"/>
      <c r="ALQ420" s="832"/>
      <c r="ALR420" s="832"/>
      <c r="ALS420" s="832"/>
      <c r="ALT420" s="832"/>
      <c r="ALU420" s="832"/>
      <c r="ALV420" s="832"/>
      <c r="ALW420" s="832"/>
      <c r="ALX420" s="832"/>
      <c r="ALY420" s="832"/>
      <c r="ALZ420" s="832"/>
      <c r="AMA420" s="832"/>
      <c r="AMB420" s="832"/>
      <c r="AMC420" s="832"/>
      <c r="AMD420" s="832"/>
      <c r="AME420" s="832"/>
      <c r="AMF420" s="832"/>
      <c r="AMG420" s="832"/>
      <c r="AMH420" s="832"/>
      <c r="AMI420" s="832"/>
      <c r="AMJ420" s="832"/>
      <c r="AMK420" s="832"/>
      <c r="AML420" s="832"/>
    </row>
    <row r="421" spans="1:1026" ht="39.75" customHeight="1" outlineLevel="1">
      <c r="A421" s="844"/>
      <c r="B421" s="444" t="s">
        <v>1106</v>
      </c>
      <c r="C421" s="879" t="s">
        <v>1107</v>
      </c>
      <c r="D421" s="443" t="s">
        <v>1108</v>
      </c>
      <c r="E421" s="444" t="s">
        <v>38</v>
      </c>
      <c r="F421" s="992">
        <f>Plan1!D393</f>
        <v>3</v>
      </c>
      <c r="G421" s="893">
        <f t="shared" si="123"/>
        <v>251.47</v>
      </c>
      <c r="H421" s="883">
        <f t="shared" si="124"/>
        <v>754.41</v>
      </c>
      <c r="I421" s="844"/>
      <c r="J421" s="841">
        <v>198.62</v>
      </c>
      <c r="K421" s="842">
        <f t="shared" si="109"/>
        <v>251.47</v>
      </c>
    </row>
    <row r="422" spans="1:1026" s="826" customFormat="1" ht="24.95" customHeight="1" outlineLevel="1">
      <c r="A422" s="900"/>
      <c r="B422" s="921">
        <v>25</v>
      </c>
      <c r="C422" s="927"/>
      <c r="D422" s="441" t="s">
        <v>1109</v>
      </c>
      <c r="E422" s="418"/>
      <c r="F422" s="967"/>
      <c r="G422" s="904"/>
      <c r="H422" s="905"/>
      <c r="I422" s="885"/>
      <c r="J422" s="915"/>
      <c r="K422" s="916"/>
      <c r="L422" s="832"/>
      <c r="M422" s="832"/>
      <c r="N422" s="832"/>
      <c r="O422" s="834"/>
      <c r="P422" s="834"/>
      <c r="Q422" s="834"/>
      <c r="R422" s="834"/>
      <c r="S422" s="834"/>
      <c r="T422" s="834"/>
      <c r="U422" s="834"/>
      <c r="V422" s="834"/>
      <c r="W422" s="834"/>
      <c r="X422" s="834"/>
      <c r="Y422" s="834"/>
      <c r="Z422" s="834"/>
      <c r="AA422" s="834"/>
      <c r="AB422" s="834"/>
      <c r="AC422" s="834"/>
      <c r="AD422" s="834"/>
      <c r="AE422" s="834"/>
      <c r="AF422" s="834"/>
      <c r="AG422" s="834"/>
      <c r="AH422" s="834"/>
      <c r="AI422" s="834"/>
      <c r="AJ422" s="834"/>
      <c r="AK422" s="834"/>
      <c r="AL422" s="834"/>
      <c r="AM422" s="834"/>
      <c r="AN422" s="834"/>
      <c r="AO422" s="834"/>
      <c r="AP422" s="834"/>
      <c r="AQ422" s="834"/>
      <c r="AR422" s="834"/>
      <c r="AS422" s="834"/>
      <c r="AT422" s="834"/>
      <c r="AU422" s="834"/>
      <c r="AV422" s="834"/>
      <c r="AW422" s="834"/>
      <c r="AX422" s="834"/>
      <c r="AY422" s="834"/>
      <c r="AZ422" s="834"/>
      <c r="BA422" s="834"/>
      <c r="BB422" s="834"/>
      <c r="BC422" s="834"/>
      <c r="BD422" s="834"/>
      <c r="BE422" s="834"/>
      <c r="BF422" s="834"/>
      <c r="BG422" s="834"/>
      <c r="BH422" s="834"/>
      <c r="BI422" s="834"/>
      <c r="BJ422" s="834"/>
      <c r="BK422" s="834"/>
      <c r="BL422" s="834"/>
      <c r="BM422" s="834"/>
      <c r="BN422" s="834"/>
      <c r="BO422" s="834"/>
      <c r="BP422" s="834"/>
      <c r="BQ422" s="834"/>
      <c r="BR422" s="834"/>
      <c r="BS422" s="834"/>
      <c r="BT422" s="834"/>
      <c r="BU422" s="834"/>
      <c r="BV422" s="834"/>
      <c r="BW422" s="834"/>
      <c r="BX422" s="834"/>
      <c r="BY422" s="834"/>
      <c r="BZ422" s="834"/>
      <c r="CA422" s="834"/>
      <c r="CB422" s="834"/>
      <c r="CC422" s="834"/>
      <c r="CD422" s="834"/>
      <c r="CE422" s="834"/>
      <c r="CF422" s="834"/>
      <c r="CG422" s="834"/>
      <c r="CH422" s="834"/>
      <c r="CI422" s="834"/>
      <c r="CJ422" s="834"/>
      <c r="CK422" s="834"/>
      <c r="CL422" s="834"/>
      <c r="CM422" s="834"/>
      <c r="CN422" s="834"/>
      <c r="CO422" s="834"/>
      <c r="CP422" s="834"/>
      <c r="CQ422" s="834"/>
      <c r="CR422" s="834"/>
      <c r="CS422" s="834"/>
      <c r="CT422" s="834"/>
      <c r="CU422" s="834"/>
      <c r="CV422" s="834"/>
      <c r="CW422" s="834"/>
      <c r="CX422" s="834"/>
      <c r="CY422" s="834"/>
      <c r="CZ422" s="834"/>
      <c r="DA422" s="834"/>
      <c r="DB422" s="834"/>
      <c r="DC422" s="834"/>
      <c r="DD422" s="834"/>
      <c r="DE422" s="834"/>
      <c r="DF422" s="834"/>
      <c r="DG422" s="834"/>
      <c r="DH422" s="834"/>
      <c r="DI422" s="834"/>
      <c r="DJ422" s="834"/>
      <c r="DK422" s="834"/>
      <c r="DL422" s="834"/>
      <c r="DM422" s="834"/>
      <c r="DN422" s="834"/>
      <c r="DO422" s="834"/>
      <c r="DP422" s="834"/>
      <c r="DQ422" s="834"/>
      <c r="DR422" s="834"/>
      <c r="DS422" s="834"/>
      <c r="DT422" s="834"/>
      <c r="DU422" s="834"/>
      <c r="DV422" s="834"/>
      <c r="DW422" s="834"/>
      <c r="DX422" s="834"/>
      <c r="DY422" s="834"/>
      <c r="DZ422" s="834"/>
      <c r="EA422" s="834"/>
      <c r="EB422" s="834"/>
      <c r="EC422" s="834"/>
      <c r="ED422" s="834"/>
      <c r="EE422" s="834"/>
      <c r="EF422" s="834"/>
      <c r="EG422" s="834"/>
      <c r="EH422" s="834"/>
      <c r="EI422" s="834"/>
      <c r="EJ422" s="834"/>
      <c r="EK422" s="834"/>
      <c r="EL422" s="834"/>
      <c r="EM422" s="834"/>
      <c r="EN422" s="834"/>
      <c r="EO422" s="834"/>
      <c r="EP422" s="834"/>
      <c r="EQ422" s="834"/>
      <c r="ER422" s="834"/>
      <c r="ES422" s="834"/>
      <c r="ET422" s="834"/>
      <c r="EU422" s="834"/>
      <c r="EV422" s="834"/>
      <c r="EW422" s="834"/>
      <c r="EX422" s="834"/>
      <c r="EY422" s="834"/>
      <c r="EZ422" s="834"/>
      <c r="FA422" s="834"/>
      <c r="FB422" s="834"/>
      <c r="FC422" s="834"/>
      <c r="FD422" s="834"/>
      <c r="FE422" s="834"/>
      <c r="FF422" s="834"/>
      <c r="FG422" s="834"/>
      <c r="FH422" s="834"/>
      <c r="FI422" s="834"/>
      <c r="FJ422" s="834"/>
      <c r="FK422" s="834"/>
      <c r="FL422" s="834"/>
      <c r="FM422" s="834"/>
      <c r="FN422" s="834"/>
      <c r="FO422" s="834"/>
      <c r="FP422" s="834"/>
      <c r="FQ422" s="834"/>
      <c r="FR422" s="834"/>
      <c r="FS422" s="834"/>
      <c r="FT422" s="834"/>
      <c r="FU422" s="834"/>
      <c r="FV422" s="834"/>
      <c r="FW422" s="834"/>
      <c r="FX422" s="834"/>
      <c r="FY422" s="834"/>
      <c r="FZ422" s="834"/>
      <c r="GA422" s="834"/>
      <c r="GB422" s="834"/>
      <c r="GC422" s="834"/>
      <c r="GD422" s="834"/>
      <c r="GE422" s="834"/>
      <c r="GF422" s="834"/>
      <c r="GG422" s="834"/>
      <c r="GH422" s="834"/>
      <c r="GI422" s="834"/>
      <c r="GJ422" s="834"/>
      <c r="GK422" s="834"/>
      <c r="GL422" s="834"/>
      <c r="GM422" s="834"/>
      <c r="GN422" s="834"/>
      <c r="GO422" s="834"/>
      <c r="GP422" s="834"/>
      <c r="GQ422" s="834"/>
      <c r="GR422" s="834"/>
      <c r="GS422" s="834"/>
      <c r="GT422" s="834"/>
      <c r="GU422" s="834"/>
      <c r="GV422" s="834"/>
      <c r="GW422" s="834"/>
      <c r="GX422" s="834"/>
      <c r="GY422" s="834"/>
      <c r="GZ422" s="834"/>
      <c r="HA422" s="834"/>
      <c r="HB422" s="834"/>
      <c r="HC422" s="834"/>
      <c r="HD422" s="834"/>
      <c r="HE422" s="834"/>
      <c r="HF422" s="834"/>
      <c r="HG422" s="834"/>
      <c r="HH422" s="834"/>
      <c r="HI422" s="834"/>
      <c r="HJ422" s="834"/>
      <c r="HK422" s="834"/>
      <c r="HL422" s="834"/>
      <c r="HM422" s="834"/>
      <c r="HN422" s="834"/>
      <c r="HO422" s="834"/>
      <c r="HP422" s="834"/>
      <c r="HQ422" s="834"/>
      <c r="HR422" s="834"/>
      <c r="HS422" s="834"/>
      <c r="HT422" s="834"/>
      <c r="HU422" s="834"/>
      <c r="HV422" s="834"/>
      <c r="HW422" s="834"/>
      <c r="HX422" s="834"/>
      <c r="HY422" s="834"/>
      <c r="HZ422" s="834"/>
      <c r="IA422" s="834"/>
      <c r="IB422" s="834"/>
      <c r="IC422" s="834"/>
      <c r="ID422" s="834"/>
      <c r="IE422" s="834"/>
      <c r="IF422" s="834"/>
      <c r="IG422" s="834"/>
      <c r="IH422" s="834"/>
      <c r="II422" s="834"/>
      <c r="IJ422" s="834"/>
      <c r="IK422" s="834"/>
      <c r="IL422" s="834"/>
      <c r="IM422" s="834"/>
      <c r="IN422" s="834"/>
      <c r="IO422" s="834"/>
      <c r="IP422" s="834"/>
      <c r="IQ422" s="834"/>
      <c r="IR422" s="834"/>
      <c r="IS422" s="834"/>
      <c r="IT422" s="834"/>
      <c r="IU422" s="834"/>
      <c r="IV422" s="834"/>
      <c r="IW422" s="834"/>
      <c r="IX422" s="834"/>
      <c r="IY422" s="834"/>
      <c r="IZ422" s="834"/>
      <c r="JA422" s="834"/>
      <c r="JB422" s="834"/>
      <c r="JC422" s="834"/>
      <c r="JD422" s="834"/>
      <c r="JE422" s="834"/>
      <c r="JF422" s="834"/>
      <c r="JG422" s="834"/>
      <c r="JH422" s="834"/>
      <c r="JI422" s="834"/>
      <c r="JJ422" s="834"/>
      <c r="JK422" s="834"/>
      <c r="JL422" s="834"/>
      <c r="JM422" s="834"/>
      <c r="JN422" s="834"/>
      <c r="JO422" s="834"/>
      <c r="JP422" s="834"/>
      <c r="JQ422" s="834"/>
      <c r="JR422" s="834"/>
      <c r="JS422" s="834"/>
      <c r="JT422" s="834"/>
      <c r="JU422" s="834"/>
      <c r="JV422" s="834"/>
      <c r="JW422" s="834"/>
      <c r="JX422" s="834"/>
      <c r="JY422" s="834"/>
      <c r="JZ422" s="834"/>
      <c r="KA422" s="834"/>
      <c r="KB422" s="834"/>
      <c r="KC422" s="834"/>
      <c r="KD422" s="834"/>
      <c r="KE422" s="834"/>
      <c r="KF422" s="834"/>
      <c r="KG422" s="834"/>
      <c r="KH422" s="834"/>
      <c r="KI422" s="834"/>
      <c r="KJ422" s="834"/>
      <c r="KK422" s="834"/>
      <c r="KL422" s="834"/>
      <c r="KM422" s="834"/>
      <c r="KN422" s="834"/>
      <c r="KO422" s="834"/>
      <c r="KP422" s="834"/>
      <c r="KQ422" s="834"/>
      <c r="KR422" s="834"/>
      <c r="KS422" s="834"/>
      <c r="KT422" s="834"/>
      <c r="KU422" s="834"/>
      <c r="KV422" s="834"/>
      <c r="KW422" s="834"/>
      <c r="KX422" s="834"/>
      <c r="KY422" s="834"/>
      <c r="KZ422" s="834"/>
      <c r="LA422" s="834"/>
      <c r="LB422" s="834"/>
      <c r="LC422" s="834"/>
      <c r="LD422" s="834"/>
      <c r="LE422" s="834"/>
      <c r="LF422" s="834"/>
      <c r="LG422" s="834"/>
      <c r="LH422" s="834"/>
      <c r="LI422" s="834"/>
      <c r="LJ422" s="834"/>
      <c r="LK422" s="834"/>
      <c r="LL422" s="834"/>
      <c r="LM422" s="834"/>
      <c r="LN422" s="834"/>
      <c r="LO422" s="834"/>
      <c r="LP422" s="834"/>
      <c r="LQ422" s="834"/>
      <c r="LR422" s="834"/>
      <c r="LS422" s="834"/>
      <c r="LT422" s="834"/>
      <c r="LU422" s="834"/>
      <c r="LV422" s="834"/>
      <c r="LW422" s="834"/>
      <c r="LX422" s="834"/>
      <c r="LY422" s="834"/>
      <c r="LZ422" s="834"/>
      <c r="MA422" s="834"/>
      <c r="MB422" s="834"/>
      <c r="MC422" s="834"/>
      <c r="MD422" s="834"/>
      <c r="ME422" s="834"/>
      <c r="MF422" s="834"/>
      <c r="MG422" s="834"/>
      <c r="MH422" s="834"/>
      <c r="MI422" s="834"/>
      <c r="MJ422" s="834"/>
      <c r="MK422" s="834"/>
      <c r="ML422" s="834"/>
      <c r="MM422" s="834"/>
      <c r="MN422" s="834"/>
      <c r="MO422" s="834"/>
      <c r="MP422" s="834"/>
      <c r="MQ422" s="834"/>
      <c r="MR422" s="834"/>
      <c r="MS422" s="834"/>
      <c r="MT422" s="834"/>
      <c r="MU422" s="834"/>
      <c r="MV422" s="834"/>
      <c r="MW422" s="834"/>
      <c r="MX422" s="834"/>
      <c r="MY422" s="834"/>
      <c r="MZ422" s="834"/>
      <c r="NA422" s="834"/>
      <c r="NB422" s="834"/>
      <c r="NC422" s="834"/>
      <c r="ND422" s="834"/>
      <c r="NE422" s="834"/>
      <c r="NF422" s="834"/>
      <c r="NG422" s="834"/>
      <c r="NH422" s="834"/>
      <c r="NI422" s="834"/>
      <c r="NJ422" s="834"/>
      <c r="NK422" s="834"/>
      <c r="NL422" s="834"/>
      <c r="NM422" s="834"/>
      <c r="NN422" s="834"/>
      <c r="NO422" s="834"/>
      <c r="NP422" s="834"/>
      <c r="NQ422" s="834"/>
      <c r="NR422" s="834"/>
      <c r="NS422" s="834"/>
      <c r="NT422" s="834"/>
      <c r="NU422" s="834"/>
      <c r="NV422" s="834"/>
      <c r="NW422" s="834"/>
      <c r="NX422" s="834"/>
      <c r="NY422" s="834"/>
      <c r="NZ422" s="834"/>
      <c r="OA422" s="834"/>
      <c r="OB422" s="834"/>
      <c r="OC422" s="834"/>
      <c r="OD422" s="834"/>
      <c r="OE422" s="834"/>
      <c r="OF422" s="834"/>
      <c r="OG422" s="834"/>
      <c r="OH422" s="834"/>
      <c r="OI422" s="834"/>
      <c r="OJ422" s="834"/>
      <c r="OK422" s="834"/>
      <c r="OL422" s="834"/>
      <c r="OM422" s="834"/>
      <c r="ON422" s="834"/>
      <c r="OO422" s="834"/>
      <c r="OP422" s="834"/>
      <c r="OQ422" s="834"/>
      <c r="OR422" s="834"/>
      <c r="OS422" s="834"/>
      <c r="OT422" s="834"/>
      <c r="OU422" s="834"/>
      <c r="OV422" s="834"/>
      <c r="OW422" s="834"/>
      <c r="OX422" s="834"/>
      <c r="OY422" s="834"/>
      <c r="OZ422" s="834"/>
      <c r="PA422" s="834"/>
      <c r="PB422" s="834"/>
      <c r="PC422" s="834"/>
      <c r="PD422" s="834"/>
      <c r="PE422" s="834"/>
      <c r="PF422" s="834"/>
      <c r="PG422" s="834"/>
      <c r="PH422" s="834"/>
      <c r="PI422" s="834"/>
      <c r="PJ422" s="834"/>
      <c r="PK422" s="834"/>
      <c r="PL422" s="834"/>
      <c r="PM422" s="834"/>
      <c r="PN422" s="834"/>
      <c r="PO422" s="834"/>
      <c r="PP422" s="834"/>
      <c r="PQ422" s="834"/>
      <c r="PR422" s="834"/>
      <c r="PS422" s="834"/>
      <c r="PT422" s="834"/>
      <c r="PU422" s="834"/>
      <c r="PV422" s="834"/>
      <c r="PW422" s="834"/>
      <c r="PX422" s="834"/>
      <c r="PY422" s="834"/>
      <c r="PZ422" s="834"/>
      <c r="QA422" s="834"/>
      <c r="QB422" s="834"/>
      <c r="QC422" s="834"/>
      <c r="QD422" s="834"/>
      <c r="QE422" s="834"/>
      <c r="QF422" s="834"/>
      <c r="QG422" s="834"/>
      <c r="QH422" s="834"/>
      <c r="QI422" s="834"/>
      <c r="QJ422" s="834"/>
      <c r="QK422" s="834"/>
      <c r="QL422" s="834"/>
      <c r="QM422" s="834"/>
      <c r="QN422" s="834"/>
      <c r="QO422" s="834"/>
      <c r="QP422" s="834"/>
      <c r="QQ422" s="834"/>
      <c r="QR422" s="834"/>
      <c r="QS422" s="834"/>
      <c r="QT422" s="834"/>
      <c r="QU422" s="834"/>
      <c r="QV422" s="834"/>
      <c r="QW422" s="834"/>
      <c r="QX422" s="834"/>
      <c r="QY422" s="834"/>
      <c r="QZ422" s="834"/>
      <c r="RA422" s="834"/>
      <c r="RB422" s="834"/>
      <c r="RC422" s="834"/>
      <c r="RD422" s="834"/>
      <c r="RE422" s="834"/>
      <c r="RF422" s="834"/>
      <c r="RG422" s="834"/>
      <c r="RH422" s="834"/>
      <c r="RI422" s="834"/>
      <c r="RJ422" s="834"/>
      <c r="RK422" s="834"/>
      <c r="RL422" s="834"/>
      <c r="RM422" s="834"/>
      <c r="RN422" s="834"/>
      <c r="RO422" s="834"/>
      <c r="RP422" s="834"/>
      <c r="RQ422" s="834"/>
      <c r="RR422" s="834"/>
      <c r="RS422" s="834"/>
      <c r="RT422" s="834"/>
      <c r="RU422" s="834"/>
      <c r="RV422" s="834"/>
      <c r="RW422" s="834"/>
      <c r="RX422" s="834"/>
      <c r="RY422" s="834"/>
      <c r="RZ422" s="834"/>
      <c r="SA422" s="834"/>
      <c r="SB422" s="834"/>
      <c r="SC422" s="834"/>
      <c r="SD422" s="834"/>
      <c r="SE422" s="834"/>
      <c r="SF422" s="834"/>
      <c r="SG422" s="834"/>
      <c r="SH422" s="834"/>
      <c r="SI422" s="834"/>
      <c r="SJ422" s="834"/>
      <c r="SK422" s="834"/>
      <c r="SL422" s="834"/>
      <c r="SM422" s="834"/>
      <c r="SN422" s="834"/>
      <c r="SO422" s="834"/>
      <c r="SP422" s="834"/>
      <c r="SQ422" s="834"/>
      <c r="SR422" s="834"/>
      <c r="SS422" s="834"/>
      <c r="ST422" s="834"/>
      <c r="SU422" s="834"/>
      <c r="SV422" s="834"/>
      <c r="SW422" s="834"/>
      <c r="SX422" s="834"/>
      <c r="SY422" s="834"/>
      <c r="SZ422" s="834"/>
      <c r="TA422" s="834"/>
      <c r="TB422" s="834"/>
      <c r="TC422" s="834"/>
      <c r="TD422" s="834"/>
      <c r="TE422" s="834"/>
      <c r="TF422" s="834"/>
      <c r="TG422" s="834"/>
      <c r="TH422" s="834"/>
      <c r="TI422" s="834"/>
      <c r="TJ422" s="834"/>
      <c r="TK422" s="834"/>
      <c r="TL422" s="834"/>
      <c r="TM422" s="834"/>
      <c r="TN422" s="834"/>
      <c r="TO422" s="834"/>
      <c r="TP422" s="834"/>
      <c r="TQ422" s="834"/>
      <c r="TR422" s="834"/>
      <c r="TS422" s="834"/>
      <c r="TT422" s="834"/>
      <c r="TU422" s="834"/>
      <c r="TV422" s="834"/>
      <c r="TW422" s="834"/>
      <c r="TX422" s="834"/>
      <c r="TY422" s="834"/>
      <c r="TZ422" s="834"/>
      <c r="UA422" s="834"/>
      <c r="UB422" s="834"/>
      <c r="UC422" s="834"/>
      <c r="UD422" s="834"/>
      <c r="UE422" s="834"/>
      <c r="UF422" s="834"/>
      <c r="UG422" s="834"/>
      <c r="UH422" s="834"/>
      <c r="UI422" s="834"/>
      <c r="UJ422" s="834"/>
      <c r="UK422" s="834"/>
      <c r="UL422" s="834"/>
      <c r="UM422" s="834"/>
      <c r="UN422" s="834"/>
      <c r="UO422" s="834"/>
      <c r="UP422" s="834"/>
      <c r="UQ422" s="834"/>
      <c r="UR422" s="834"/>
      <c r="US422" s="834"/>
      <c r="UT422" s="834"/>
      <c r="UU422" s="834"/>
      <c r="UV422" s="834"/>
      <c r="UW422" s="834"/>
      <c r="UX422" s="834"/>
      <c r="UY422" s="834"/>
      <c r="UZ422" s="834"/>
      <c r="VA422" s="834"/>
      <c r="VB422" s="834"/>
      <c r="VC422" s="834"/>
      <c r="VD422" s="834"/>
      <c r="VE422" s="834"/>
      <c r="VF422" s="834"/>
      <c r="VG422" s="834"/>
      <c r="VH422" s="834"/>
      <c r="VI422" s="834"/>
      <c r="VJ422" s="834"/>
      <c r="VK422" s="834"/>
      <c r="VL422" s="834"/>
      <c r="VM422" s="834"/>
      <c r="VN422" s="834"/>
      <c r="VO422" s="834"/>
      <c r="VP422" s="834"/>
      <c r="VQ422" s="834"/>
      <c r="VR422" s="834"/>
      <c r="VS422" s="834"/>
      <c r="VT422" s="834"/>
      <c r="VU422" s="834"/>
      <c r="VV422" s="834"/>
      <c r="VW422" s="834"/>
      <c r="VX422" s="834"/>
      <c r="VY422" s="834"/>
      <c r="VZ422" s="834"/>
      <c r="WA422" s="834"/>
      <c r="WB422" s="834"/>
      <c r="WC422" s="834"/>
      <c r="WD422" s="834"/>
      <c r="WE422" s="834"/>
      <c r="WF422" s="834"/>
      <c r="WG422" s="834"/>
      <c r="WH422" s="834"/>
      <c r="WI422" s="834"/>
      <c r="WJ422" s="834"/>
      <c r="WK422" s="834"/>
      <c r="WL422" s="834"/>
      <c r="WM422" s="834"/>
      <c r="WN422" s="834"/>
      <c r="WO422" s="834"/>
      <c r="WP422" s="834"/>
      <c r="WQ422" s="834"/>
      <c r="WR422" s="834"/>
      <c r="WS422" s="834"/>
      <c r="WT422" s="834"/>
      <c r="WU422" s="834"/>
      <c r="WV422" s="834"/>
      <c r="WW422" s="834"/>
      <c r="WX422" s="834"/>
      <c r="WY422" s="834"/>
      <c r="WZ422" s="834"/>
      <c r="XA422" s="834"/>
      <c r="XB422" s="834"/>
      <c r="XC422" s="834"/>
      <c r="XD422" s="834"/>
      <c r="XE422" s="834"/>
      <c r="XF422" s="834"/>
      <c r="XG422" s="834"/>
      <c r="XH422" s="834"/>
      <c r="XI422" s="834"/>
      <c r="XJ422" s="834"/>
      <c r="XK422" s="834"/>
      <c r="XL422" s="834"/>
      <c r="XM422" s="834"/>
      <c r="XN422" s="834"/>
      <c r="XO422" s="834"/>
      <c r="XP422" s="834"/>
      <c r="XQ422" s="834"/>
      <c r="XR422" s="834"/>
      <c r="XS422" s="834"/>
      <c r="XT422" s="834"/>
      <c r="XU422" s="834"/>
      <c r="XV422" s="834"/>
      <c r="XW422" s="834"/>
      <c r="XX422" s="834"/>
      <c r="XY422" s="834"/>
      <c r="XZ422" s="834"/>
      <c r="YA422" s="834"/>
      <c r="YB422" s="834"/>
      <c r="YC422" s="834"/>
      <c r="YD422" s="834"/>
      <c r="YE422" s="834"/>
      <c r="YF422" s="834"/>
      <c r="YG422" s="834"/>
      <c r="YH422" s="834"/>
      <c r="YI422" s="834"/>
      <c r="YJ422" s="834"/>
      <c r="YK422" s="834"/>
      <c r="YL422" s="834"/>
      <c r="YM422" s="834"/>
      <c r="YN422" s="834"/>
      <c r="YO422" s="834"/>
      <c r="YP422" s="834"/>
      <c r="YQ422" s="834"/>
      <c r="YR422" s="834"/>
      <c r="YS422" s="834"/>
      <c r="YT422" s="834"/>
      <c r="YU422" s="834"/>
      <c r="YV422" s="834"/>
      <c r="YW422" s="834"/>
      <c r="YX422" s="834"/>
      <c r="YY422" s="834"/>
      <c r="YZ422" s="834"/>
      <c r="ZA422" s="834"/>
      <c r="ZB422" s="834"/>
      <c r="ZC422" s="834"/>
      <c r="ZD422" s="834"/>
      <c r="ZE422" s="834"/>
      <c r="ZF422" s="834"/>
      <c r="ZG422" s="834"/>
      <c r="ZH422" s="834"/>
      <c r="ZI422" s="834"/>
      <c r="ZJ422" s="834"/>
      <c r="ZK422" s="834"/>
      <c r="ZL422" s="834"/>
      <c r="ZM422" s="834"/>
      <c r="ZN422" s="834"/>
      <c r="ZO422" s="834"/>
      <c r="ZP422" s="834"/>
      <c r="ZQ422" s="834"/>
      <c r="ZR422" s="834"/>
      <c r="ZS422" s="834"/>
      <c r="ZT422" s="834"/>
      <c r="ZU422" s="834"/>
      <c r="ZV422" s="834"/>
      <c r="ZW422" s="834"/>
      <c r="ZX422" s="834"/>
      <c r="ZY422" s="834"/>
      <c r="ZZ422" s="834"/>
      <c r="AAA422" s="834"/>
      <c r="AAB422" s="834"/>
      <c r="AAC422" s="834"/>
      <c r="AAD422" s="834"/>
      <c r="AAE422" s="834"/>
      <c r="AAF422" s="834"/>
      <c r="AAG422" s="834"/>
      <c r="AAH422" s="834"/>
      <c r="AAI422" s="834"/>
      <c r="AAJ422" s="834"/>
      <c r="AAK422" s="834"/>
      <c r="AAL422" s="834"/>
      <c r="AAM422" s="834"/>
      <c r="AAN422" s="834"/>
      <c r="AAO422" s="834"/>
      <c r="AAP422" s="834"/>
      <c r="AAQ422" s="834"/>
      <c r="AAR422" s="834"/>
      <c r="AAS422" s="834"/>
      <c r="AAT422" s="834"/>
      <c r="AAU422" s="834"/>
      <c r="AAV422" s="834"/>
      <c r="AAW422" s="834"/>
      <c r="AAX422" s="834"/>
      <c r="AAY422" s="834"/>
      <c r="AAZ422" s="834"/>
      <c r="ABA422" s="834"/>
      <c r="ABB422" s="834"/>
      <c r="ABC422" s="834"/>
      <c r="ABD422" s="834"/>
      <c r="ABE422" s="834"/>
      <c r="ABF422" s="834"/>
      <c r="ABG422" s="834"/>
      <c r="ABH422" s="834"/>
      <c r="ABI422" s="834"/>
      <c r="ABJ422" s="834"/>
      <c r="ABK422" s="834"/>
      <c r="ABL422" s="834"/>
      <c r="ABM422" s="834"/>
      <c r="ABN422" s="834"/>
      <c r="ABO422" s="834"/>
      <c r="ABP422" s="834"/>
      <c r="ABQ422" s="834"/>
      <c r="ABR422" s="834"/>
      <c r="ABS422" s="834"/>
      <c r="ABT422" s="834"/>
      <c r="ABU422" s="834"/>
      <c r="ABV422" s="834"/>
      <c r="ABW422" s="834"/>
      <c r="ABX422" s="834"/>
      <c r="ABY422" s="834"/>
      <c r="ABZ422" s="834"/>
      <c r="ACA422" s="834"/>
      <c r="ACB422" s="834"/>
      <c r="ACC422" s="834"/>
      <c r="ACD422" s="834"/>
      <c r="ACE422" s="834"/>
      <c r="ACF422" s="834"/>
      <c r="ACG422" s="834"/>
      <c r="ACH422" s="834"/>
      <c r="ACI422" s="834"/>
      <c r="ACJ422" s="834"/>
      <c r="ACK422" s="834"/>
      <c r="ACL422" s="834"/>
      <c r="ACM422" s="834"/>
      <c r="ACN422" s="834"/>
      <c r="ACO422" s="834"/>
      <c r="ACP422" s="834"/>
      <c r="ACQ422" s="834"/>
      <c r="ACR422" s="834"/>
      <c r="ACS422" s="834"/>
      <c r="ACT422" s="834"/>
      <c r="ACU422" s="834"/>
      <c r="ACV422" s="834"/>
      <c r="ACW422" s="834"/>
      <c r="ACX422" s="834"/>
      <c r="ACY422" s="834"/>
      <c r="ACZ422" s="834"/>
      <c r="ADA422" s="834"/>
      <c r="ADB422" s="834"/>
      <c r="ADC422" s="834"/>
      <c r="ADD422" s="834"/>
      <c r="ADE422" s="834"/>
      <c r="ADF422" s="834"/>
      <c r="ADG422" s="834"/>
      <c r="ADH422" s="834"/>
      <c r="ADI422" s="834"/>
      <c r="ADJ422" s="834"/>
      <c r="ADK422" s="834"/>
      <c r="ADL422" s="834"/>
      <c r="ADM422" s="834"/>
      <c r="ADN422" s="834"/>
      <c r="ADO422" s="834"/>
      <c r="ADP422" s="834"/>
      <c r="ADQ422" s="834"/>
      <c r="ADR422" s="834"/>
      <c r="ADS422" s="834"/>
      <c r="ADT422" s="834"/>
      <c r="ADU422" s="834"/>
      <c r="ADV422" s="834"/>
      <c r="ADW422" s="834"/>
      <c r="ADX422" s="834"/>
      <c r="ADY422" s="834"/>
      <c r="ADZ422" s="834"/>
      <c r="AEA422" s="834"/>
      <c r="AEB422" s="834"/>
      <c r="AEC422" s="834"/>
      <c r="AED422" s="834"/>
      <c r="AEE422" s="834"/>
      <c r="AEF422" s="834"/>
      <c r="AEG422" s="834"/>
      <c r="AEH422" s="834"/>
      <c r="AEI422" s="834"/>
      <c r="AEJ422" s="834"/>
      <c r="AEK422" s="834"/>
      <c r="AEL422" s="834"/>
      <c r="AEM422" s="834"/>
      <c r="AEN422" s="834"/>
      <c r="AEO422" s="834"/>
      <c r="AEP422" s="834"/>
      <c r="AEQ422" s="834"/>
      <c r="AER422" s="834"/>
      <c r="AES422" s="834"/>
      <c r="AET422" s="834"/>
      <c r="AEU422" s="834"/>
      <c r="AEV422" s="834"/>
      <c r="AEW422" s="834"/>
      <c r="AEX422" s="834"/>
      <c r="AEY422" s="834"/>
      <c r="AEZ422" s="834"/>
      <c r="AFA422" s="834"/>
      <c r="AFB422" s="834"/>
      <c r="AFC422" s="834"/>
      <c r="AFD422" s="834"/>
      <c r="AFE422" s="834"/>
      <c r="AFF422" s="834"/>
      <c r="AFG422" s="834"/>
      <c r="AFH422" s="834"/>
      <c r="AFI422" s="834"/>
      <c r="AFJ422" s="834"/>
      <c r="AFK422" s="834"/>
      <c r="AFL422" s="834"/>
      <c r="AFM422" s="834"/>
      <c r="AFN422" s="834"/>
      <c r="AFO422" s="834"/>
      <c r="AFP422" s="834"/>
      <c r="AFQ422" s="834"/>
      <c r="AFR422" s="834"/>
      <c r="AFS422" s="834"/>
      <c r="AFT422" s="834"/>
      <c r="AFU422" s="834"/>
      <c r="AFV422" s="834"/>
      <c r="AFW422" s="834"/>
      <c r="AFX422" s="834"/>
      <c r="AFY422" s="834"/>
      <c r="AFZ422" s="834"/>
      <c r="AGA422" s="834"/>
      <c r="AGB422" s="834"/>
      <c r="AGC422" s="834"/>
      <c r="AGD422" s="834"/>
      <c r="AGE422" s="834"/>
      <c r="AGF422" s="834"/>
      <c r="AGG422" s="834"/>
      <c r="AGH422" s="834"/>
      <c r="AGI422" s="834"/>
      <c r="AGJ422" s="834"/>
      <c r="AGK422" s="834"/>
      <c r="AGL422" s="834"/>
      <c r="AGM422" s="834"/>
      <c r="AGN422" s="834"/>
      <c r="AGO422" s="834"/>
      <c r="AGP422" s="834"/>
      <c r="AGQ422" s="834"/>
      <c r="AGR422" s="834"/>
      <c r="AGS422" s="834"/>
      <c r="AGT422" s="834"/>
      <c r="AGU422" s="834"/>
      <c r="AGV422" s="834"/>
      <c r="AGW422" s="834"/>
      <c r="AGX422" s="834"/>
      <c r="AGY422" s="834"/>
      <c r="AGZ422" s="834"/>
      <c r="AHA422" s="834"/>
      <c r="AHB422" s="834"/>
      <c r="AHC422" s="834"/>
      <c r="AHD422" s="834"/>
      <c r="AHE422" s="834"/>
      <c r="AHF422" s="834"/>
      <c r="AHG422" s="834"/>
      <c r="AHH422" s="834"/>
      <c r="AHI422" s="834"/>
      <c r="AHJ422" s="834"/>
      <c r="AHK422" s="834"/>
      <c r="AHL422" s="834"/>
      <c r="AHM422" s="834"/>
      <c r="AHN422" s="834"/>
      <c r="AHO422" s="834"/>
      <c r="AHP422" s="834"/>
      <c r="AHQ422" s="834"/>
      <c r="AHR422" s="834"/>
      <c r="AHS422" s="834"/>
      <c r="AHT422" s="834"/>
      <c r="AHU422" s="834"/>
      <c r="AHV422" s="834"/>
      <c r="AHW422" s="834"/>
      <c r="AHX422" s="834"/>
      <c r="AHY422" s="834"/>
      <c r="AHZ422" s="834"/>
      <c r="AIA422" s="834"/>
      <c r="AIB422" s="834"/>
      <c r="AIC422" s="834"/>
      <c r="AID422" s="834"/>
      <c r="AIE422" s="834"/>
      <c r="AIF422" s="834"/>
      <c r="AIG422" s="834"/>
      <c r="AIH422" s="834"/>
      <c r="AII422" s="834"/>
      <c r="AIJ422" s="834"/>
      <c r="AIK422" s="834"/>
      <c r="AIL422" s="834"/>
      <c r="AIM422" s="834"/>
      <c r="AIN422" s="834"/>
      <c r="AIO422" s="834"/>
      <c r="AIP422" s="834"/>
      <c r="AIQ422" s="834"/>
      <c r="AIR422" s="834"/>
      <c r="AIS422" s="834"/>
      <c r="AIT422" s="834"/>
      <c r="AIU422" s="834"/>
      <c r="AIV422" s="834"/>
      <c r="AIW422" s="834"/>
      <c r="AIX422" s="834"/>
      <c r="AIY422" s="834"/>
      <c r="AIZ422" s="834"/>
      <c r="AJA422" s="834"/>
      <c r="AJB422" s="834"/>
      <c r="AJC422" s="834"/>
      <c r="AJD422" s="834"/>
      <c r="AJE422" s="834"/>
      <c r="AJF422" s="834"/>
      <c r="AJG422" s="834"/>
      <c r="AJH422" s="834"/>
      <c r="AJI422" s="834"/>
      <c r="AJJ422" s="834"/>
      <c r="AJK422" s="834"/>
      <c r="AJL422" s="834"/>
      <c r="AJM422" s="834"/>
      <c r="AJN422" s="834"/>
      <c r="AJO422" s="834"/>
      <c r="AJP422" s="834"/>
      <c r="AJQ422" s="834"/>
      <c r="AJR422" s="834"/>
      <c r="AJS422" s="834"/>
      <c r="AJT422" s="834"/>
      <c r="AJU422" s="834"/>
      <c r="AJV422" s="834"/>
      <c r="AJW422" s="834"/>
      <c r="AJX422" s="834"/>
      <c r="AJY422" s="834"/>
      <c r="AJZ422" s="834"/>
      <c r="AKA422" s="834"/>
      <c r="AKB422" s="834"/>
      <c r="AKC422" s="834"/>
      <c r="AKD422" s="834"/>
      <c r="AKE422" s="834"/>
      <c r="AKF422" s="834"/>
      <c r="AKG422" s="834"/>
      <c r="AKH422" s="834"/>
      <c r="AKI422" s="834"/>
      <c r="AKJ422" s="834"/>
      <c r="AKK422" s="834"/>
      <c r="AKL422" s="834"/>
      <c r="AKM422" s="834"/>
      <c r="AKN422" s="834"/>
      <c r="AKO422" s="834"/>
      <c r="AKP422" s="834"/>
      <c r="AKQ422" s="834"/>
      <c r="AKR422" s="834"/>
      <c r="AKS422" s="834"/>
      <c r="AKT422" s="834"/>
      <c r="AKU422" s="834"/>
      <c r="AKV422" s="834"/>
      <c r="AKW422" s="834"/>
      <c r="AKX422" s="834"/>
      <c r="AKY422" s="834"/>
      <c r="AKZ422" s="834"/>
      <c r="ALA422" s="834"/>
      <c r="ALB422" s="834"/>
      <c r="ALC422" s="834"/>
      <c r="ALD422" s="834"/>
      <c r="ALE422" s="834"/>
      <c r="ALF422" s="834"/>
      <c r="ALG422" s="834"/>
      <c r="ALH422" s="834"/>
      <c r="ALI422" s="834"/>
      <c r="ALJ422" s="834"/>
      <c r="ALK422" s="834"/>
      <c r="ALL422" s="834"/>
      <c r="ALM422" s="834"/>
      <c r="ALN422" s="834"/>
      <c r="ALO422" s="834"/>
      <c r="ALP422" s="834"/>
      <c r="ALQ422" s="834"/>
      <c r="ALR422" s="834"/>
      <c r="ALS422" s="834"/>
      <c r="ALT422" s="834"/>
      <c r="ALU422" s="834"/>
      <c r="ALV422" s="834"/>
      <c r="ALW422" s="834"/>
      <c r="ALX422" s="834"/>
      <c r="ALY422" s="834"/>
      <c r="ALZ422" s="834"/>
      <c r="AMA422" s="834"/>
      <c r="AMB422" s="834"/>
      <c r="AMC422" s="834"/>
      <c r="AMD422" s="834"/>
      <c r="AME422" s="834"/>
      <c r="AMF422" s="834"/>
      <c r="AMG422" s="834"/>
      <c r="AMH422" s="834"/>
      <c r="AMI422" s="834"/>
      <c r="AMJ422" s="834"/>
      <c r="AMK422" s="834"/>
      <c r="AML422" s="834"/>
    </row>
    <row r="423" spans="1:1026" s="832" customFormat="1" ht="40.5" customHeight="1" outlineLevel="1">
      <c r="A423" s="885"/>
      <c r="B423" s="923" t="s">
        <v>1110</v>
      </c>
      <c r="C423" s="886" t="s">
        <v>1111</v>
      </c>
      <c r="D423" s="451" t="s">
        <v>1112</v>
      </c>
      <c r="E423" s="449" t="s">
        <v>60</v>
      </c>
      <c r="F423" s="992">
        <f>Plan1!D395</f>
        <v>1</v>
      </c>
      <c r="G423" s="925">
        <f>K423</f>
        <v>2891.44</v>
      </c>
      <c r="H423" s="889">
        <f>F423*G423</f>
        <v>2891.44</v>
      </c>
      <c r="I423" s="885"/>
      <c r="J423" s="915">
        <v>2283.7399999999998</v>
      </c>
      <c r="K423" s="916">
        <f>ROUND(J423*(1+$H$14),2)</f>
        <v>2891.44</v>
      </c>
    </row>
    <row r="424" spans="1:1026" ht="39" customHeight="1" outlineLevel="1">
      <c r="A424" s="844"/>
      <c r="B424" s="923" t="s">
        <v>1113</v>
      </c>
      <c r="C424" s="879" t="s">
        <v>208</v>
      </c>
      <c r="D424" s="443" t="s">
        <v>1114</v>
      </c>
      <c r="E424" s="444" t="s">
        <v>27</v>
      </c>
      <c r="F424" s="987">
        <f>Esquadrias!H25</f>
        <v>26.91</v>
      </c>
      <c r="G424" s="893">
        <f>K424</f>
        <v>131.69999999999999</v>
      </c>
      <c r="H424" s="883">
        <f>F424*G424</f>
        <v>3544.0469999999996</v>
      </c>
      <c r="I424" s="844"/>
      <c r="J424" s="841">
        <v>104.02</v>
      </c>
      <c r="K424" s="842">
        <f>ROUND(J424*(1+$H$14),2)</f>
        <v>131.69999999999999</v>
      </c>
    </row>
    <row r="425" spans="1:1026" s="830" customFormat="1" ht="38.25" customHeight="1" outlineLevel="1">
      <c r="A425" s="844"/>
      <c r="B425" s="923" t="s">
        <v>1115</v>
      </c>
      <c r="C425" s="879" t="s">
        <v>1116</v>
      </c>
      <c r="D425" s="451" t="s">
        <v>1117</v>
      </c>
      <c r="E425" s="444" t="s">
        <v>38</v>
      </c>
      <c r="F425" s="987">
        <f>'GRADIL - A.VERDE - Á EXT.'!C15</f>
        <v>43.31</v>
      </c>
      <c r="G425" s="893">
        <f>K425</f>
        <v>947.42</v>
      </c>
      <c r="H425" s="883">
        <f>F425*G425</f>
        <v>41032.760199999997</v>
      </c>
      <c r="I425" s="844"/>
      <c r="J425" s="841">
        <v>748.3</v>
      </c>
      <c r="K425" s="842">
        <f>ROUND(J425*(1+$H$14),2)</f>
        <v>947.42</v>
      </c>
    </row>
    <row r="426" spans="1:1026" ht="24.95" customHeight="1">
      <c r="A426" s="844"/>
      <c r="B426" s="875">
        <v>26</v>
      </c>
      <c r="C426" s="875"/>
      <c r="D426" s="447" t="s">
        <v>1118</v>
      </c>
      <c r="E426" s="422"/>
      <c r="F426" s="971"/>
      <c r="G426" s="877"/>
      <c r="H426" s="878"/>
      <c r="I426" s="844"/>
    </row>
    <row r="427" spans="1:1026" ht="24.95" customHeight="1" outlineLevel="1">
      <c r="A427" s="844"/>
      <c r="B427" s="444" t="s">
        <v>1119</v>
      </c>
      <c r="C427" s="879" t="s">
        <v>1120</v>
      </c>
      <c r="D427" s="443" t="s">
        <v>1121</v>
      </c>
      <c r="E427" s="444" t="s">
        <v>27</v>
      </c>
      <c r="F427" s="987">
        <v>1104.98</v>
      </c>
      <c r="G427" s="893">
        <f>K427</f>
        <v>11.62</v>
      </c>
      <c r="H427" s="883">
        <f>F427*G427</f>
        <v>12839.8676</v>
      </c>
      <c r="I427" s="844"/>
      <c r="J427" s="841">
        <v>9.18</v>
      </c>
      <c r="K427" s="842">
        <f t="shared" ref="K427:K428" si="125">ROUND(J427*(1+$H$14),2)</f>
        <v>11.62</v>
      </c>
    </row>
    <row r="428" spans="1:1026" ht="36.75" customHeight="1" outlineLevel="1">
      <c r="A428" s="844"/>
      <c r="B428" s="444" t="s">
        <v>1122</v>
      </c>
      <c r="C428" s="898" t="s">
        <v>1123</v>
      </c>
      <c r="D428" s="892" t="s">
        <v>1124</v>
      </c>
      <c r="E428" s="935" t="s">
        <v>60</v>
      </c>
      <c r="F428" s="881">
        <v>1</v>
      </c>
      <c r="G428" s="893">
        <f>K428</f>
        <v>742.66</v>
      </c>
      <c r="H428" s="883">
        <f>F428*G428</f>
        <v>742.66</v>
      </c>
      <c r="I428" s="844"/>
      <c r="J428" s="841">
        <v>586.57000000000005</v>
      </c>
      <c r="K428" s="842">
        <f t="shared" si="125"/>
        <v>742.66</v>
      </c>
    </row>
    <row r="429" spans="1:1026" ht="24.95" customHeight="1" outlineLevel="1">
      <c r="A429" s="844"/>
      <c r="B429" s="875">
        <v>27</v>
      </c>
      <c r="C429" s="875"/>
      <c r="D429" s="447" t="s">
        <v>1125</v>
      </c>
      <c r="E429" s="422"/>
      <c r="F429" s="876"/>
      <c r="G429" s="877"/>
      <c r="H429" s="878"/>
      <c r="I429" s="844"/>
      <c r="J429" s="1035" t="s">
        <v>1126</v>
      </c>
      <c r="K429" s="1036">
        <f ca="1">SUM(H21:H428)</f>
        <v>3633596.3558198134</v>
      </c>
    </row>
    <row r="430" spans="1:1026" ht="39.75" customHeight="1" outlineLevel="1">
      <c r="A430" s="844"/>
      <c r="B430" s="935" t="s">
        <v>1127</v>
      </c>
      <c r="C430" s="919" t="s">
        <v>1128</v>
      </c>
      <c r="D430" s="1024" t="s">
        <v>1129</v>
      </c>
      <c r="E430" s="935" t="s">
        <v>1130</v>
      </c>
      <c r="F430" s="881">
        <v>1</v>
      </c>
      <c r="G430" s="1025">
        <f>composições!G877</f>
        <v>176250.36000000002</v>
      </c>
      <c r="H430" s="883">
        <f>G430*F430</f>
        <v>176250.36000000002</v>
      </c>
      <c r="I430" s="844"/>
    </row>
    <row r="431" spans="1:1026" ht="33.75" customHeight="1">
      <c r="A431" s="844"/>
      <c r="B431" s="1026"/>
      <c r="C431" s="1027"/>
      <c r="D431" s="1028"/>
      <c r="E431" s="1027"/>
      <c r="F431" s="1029"/>
      <c r="G431" s="1030" t="s">
        <v>1131</v>
      </c>
      <c r="H431" s="1031">
        <f ca="1">SUM(H21:H430)</f>
        <v>3809846.7158198133</v>
      </c>
      <c r="I431" s="844"/>
    </row>
    <row r="432" spans="1:1026" ht="9.9499999999999993" customHeight="1">
      <c r="A432" s="844"/>
      <c r="B432" s="844"/>
      <c r="C432" s="844"/>
      <c r="D432" s="873"/>
      <c r="E432" s="844"/>
      <c r="F432" s="846"/>
      <c r="G432" s="847"/>
      <c r="H432" s="874"/>
      <c r="I432" s="844"/>
    </row>
    <row r="433" spans="1:12 1027:1027">
      <c r="A433" s="845"/>
      <c r="B433" s="844"/>
      <c r="C433" s="844"/>
      <c r="D433" s="873"/>
      <c r="E433" s="844"/>
      <c r="F433" s="846"/>
      <c r="G433" s="847"/>
      <c r="H433" s="874"/>
      <c r="I433" s="845"/>
    </row>
    <row r="434" spans="1:12 1027:1027">
      <c r="A434" s="844"/>
      <c r="B434" s="1053" t="s">
        <v>1132</v>
      </c>
      <c r="C434" s="1053"/>
      <c r="E434" s="1053" t="s">
        <v>1133</v>
      </c>
      <c r="F434" s="1053"/>
      <c r="G434" s="1053"/>
      <c r="H434" s="847"/>
      <c r="I434" s="874"/>
      <c r="J434" s="1037"/>
      <c r="L434" s="1038"/>
      <c r="AMM434" s="843"/>
    </row>
    <row r="435" spans="1:12 1027:1027">
      <c r="A435" s="844"/>
      <c r="B435" s="1053" t="s">
        <v>1134</v>
      </c>
      <c r="C435" s="1053"/>
      <c r="E435" s="1053" t="s">
        <v>1135</v>
      </c>
      <c r="F435" s="1053"/>
      <c r="G435" s="1053"/>
      <c r="H435" s="847"/>
      <c r="I435" s="874"/>
      <c r="J435" s="1037"/>
      <c r="L435" s="1038"/>
      <c r="AMM435" s="843"/>
    </row>
    <row r="436" spans="1:12 1027:1027">
      <c r="A436" s="844"/>
      <c r="B436" s="1053" t="s">
        <v>1136</v>
      </c>
      <c r="C436" s="1053"/>
      <c r="E436" s="1053" t="s">
        <v>1137</v>
      </c>
      <c r="F436" s="1053"/>
      <c r="G436" s="1053"/>
      <c r="H436" s="847"/>
      <c r="I436" s="874"/>
      <c r="J436" s="1037"/>
      <c r="L436" s="1038"/>
      <c r="AMM436" s="843"/>
    </row>
    <row r="437" spans="1:12 1027:1027">
      <c r="A437" s="844"/>
      <c r="B437" s="1053" t="s">
        <v>1138</v>
      </c>
      <c r="C437" s="1053"/>
      <c r="E437" s="1053" t="s">
        <v>1139</v>
      </c>
      <c r="F437" s="1053"/>
      <c r="G437" s="1053"/>
      <c r="H437" s="845"/>
      <c r="I437" s="845"/>
      <c r="J437" s="1037"/>
      <c r="L437" s="1038"/>
      <c r="AMM437" s="843"/>
    </row>
    <row r="438" spans="1:12 1027:1027">
      <c r="A438" s="844"/>
      <c r="C438" s="844"/>
      <c r="D438" s="844"/>
      <c r="E438" s="873"/>
      <c r="F438" s="844"/>
      <c r="G438" s="846"/>
      <c r="H438" s="847"/>
      <c r="I438" s="874"/>
      <c r="J438" s="1037"/>
      <c r="L438" s="1038"/>
      <c r="AMM438" s="843"/>
    </row>
    <row r="439" spans="1:12 1027:1027">
      <c r="A439" s="844"/>
      <c r="B439" s="844"/>
      <c r="C439" s="844"/>
      <c r="D439" s="844"/>
      <c r="E439" s="1054"/>
      <c r="F439" s="1054"/>
      <c r="G439" s="1054"/>
      <c r="H439" s="1054"/>
      <c r="I439" s="844"/>
    </row>
    <row r="440" spans="1:12 1027:1027">
      <c r="A440" s="844"/>
      <c r="B440" s="844"/>
      <c r="C440" s="844"/>
      <c r="D440" s="844"/>
      <c r="E440" s="844"/>
      <c r="F440" s="846"/>
      <c r="G440" s="847"/>
      <c r="H440" s="874"/>
      <c r="I440" s="844"/>
    </row>
  </sheetData>
  <mergeCells count="15">
    <mergeCell ref="B436:C436"/>
    <mergeCell ref="E436:G436"/>
    <mergeCell ref="B437:C437"/>
    <mergeCell ref="E437:G437"/>
    <mergeCell ref="E439:H439"/>
    <mergeCell ref="B16:H16"/>
    <mergeCell ref="B434:C434"/>
    <mergeCell ref="E434:G434"/>
    <mergeCell ref="B435:C435"/>
    <mergeCell ref="E435:G435"/>
    <mergeCell ref="B8:H8"/>
    <mergeCell ref="B9:H9"/>
    <mergeCell ref="C12:F12"/>
    <mergeCell ref="C13:F13"/>
    <mergeCell ref="C14:F14"/>
  </mergeCells>
  <conditionalFormatting sqref="F18">
    <cfRule type="cellIs" dxfId="5" priority="4" operator="equal">
      <formula>0</formula>
    </cfRule>
  </conditionalFormatting>
  <conditionalFormatting sqref="G18:H18">
    <cfRule type="cellIs" dxfId="4" priority="5" operator="equal">
      <formula>0</formula>
    </cfRule>
  </conditionalFormatting>
  <conditionalFormatting sqref="E429:H429">
    <cfRule type="cellIs" dxfId="3" priority="6" operator="equal">
      <formula>0</formula>
    </cfRule>
  </conditionalFormatting>
  <printOptions horizontalCentered="1"/>
  <pageMargins left="0.47152777777777799" right="0.39305555555555599" top="0.59027777777777801" bottom="0.47152777777777799" header="0.51180555555555596" footer="0.31388888888888899"/>
  <pageSetup paperSize="9" scale="46" firstPageNumber="0" orientation="portrait" useFirstPageNumber="1" horizontalDpi="300" verticalDpi="300"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3"/>
  <sheetViews>
    <sheetView tabSelected="1" view="pageBreakPreview" topLeftCell="B1" zoomScale="70" zoomScaleNormal="80" workbookViewId="0">
      <selection activeCell="F70" sqref="F70:F73"/>
    </sheetView>
  </sheetViews>
  <sheetFormatPr defaultColWidth="9" defaultRowHeight="15"/>
  <cols>
    <col min="1" max="1" width="2.42578125" style="765" customWidth="1"/>
    <col min="2" max="2" width="9.7109375" style="766" customWidth="1"/>
    <col min="3" max="3" width="60.28515625" style="766" customWidth="1"/>
    <col min="4" max="4" width="12" style="767" customWidth="1"/>
    <col min="5" max="5" width="21.85546875" style="768" customWidth="1"/>
    <col min="6" max="17" width="20.42578125" style="766" customWidth="1"/>
    <col min="18" max="18" width="2.42578125" style="765" customWidth="1"/>
    <col min="19" max="19" width="12.85546875" style="765" customWidth="1"/>
    <col min="20" max="20" width="14.28515625" style="765" customWidth="1"/>
    <col min="21" max="1031" width="8.7109375" style="765" customWidth="1"/>
    <col min="1032" max="16384" width="9" style="765"/>
  </cols>
  <sheetData>
    <row r="1" spans="1:18" ht="12.75" customHeight="1">
      <c r="B1" s="769"/>
      <c r="C1" s="770"/>
      <c r="D1" s="770"/>
      <c r="E1" s="770"/>
      <c r="F1" s="770"/>
      <c r="G1" s="770"/>
      <c r="H1" s="770"/>
      <c r="I1" s="770"/>
      <c r="J1" s="770"/>
      <c r="K1" s="770"/>
      <c r="L1" s="770"/>
      <c r="M1" s="770"/>
      <c r="N1" s="770"/>
      <c r="O1" s="770"/>
      <c r="P1" s="770"/>
      <c r="Q1" s="770"/>
    </row>
    <row r="2" spans="1:18" ht="126.95" customHeight="1">
      <c r="B2" s="1055"/>
      <c r="C2" s="1055"/>
      <c r="D2" s="1055"/>
      <c r="E2" s="1055"/>
      <c r="F2" s="1055"/>
      <c r="G2" s="1055"/>
      <c r="H2" s="1055"/>
      <c r="I2" s="1055"/>
      <c r="J2" s="1055"/>
      <c r="K2" s="1055"/>
      <c r="L2" s="1055"/>
      <c r="M2" s="1055"/>
      <c r="N2" s="1055"/>
      <c r="O2" s="1055"/>
      <c r="P2" s="1055"/>
      <c r="Q2" s="1055"/>
    </row>
    <row r="3" spans="1:18" ht="39" customHeight="1">
      <c r="B3" s="1056" t="s">
        <v>1140</v>
      </c>
      <c r="C3" s="1056"/>
      <c r="D3" s="1056"/>
      <c r="E3" s="1056"/>
      <c r="F3" s="1056"/>
      <c r="G3" s="1056"/>
      <c r="H3" s="1056"/>
      <c r="I3" s="1056"/>
      <c r="J3" s="1056"/>
      <c r="K3" s="1056"/>
      <c r="L3" s="1056"/>
      <c r="M3" s="1056"/>
      <c r="N3" s="1056"/>
      <c r="O3" s="1056"/>
      <c r="P3" s="1056"/>
      <c r="Q3" s="1056"/>
    </row>
    <row r="4" spans="1:18" ht="24.95" customHeight="1">
      <c r="B4" s="771" t="s">
        <v>2</v>
      </c>
      <c r="C4" s="1057" t="str">
        <f>'Planilha Orçamentária'!C12</f>
        <v>CONSTRUÇÃO DO CEMEI FÁTIMA CIDADE JARDIM</v>
      </c>
      <c r="D4" s="1057"/>
      <c r="E4" s="1057"/>
      <c r="F4" s="1057"/>
      <c r="G4" s="1057"/>
      <c r="H4" s="1057"/>
      <c r="I4" s="1057"/>
      <c r="J4" s="1057"/>
      <c r="K4" s="1057"/>
      <c r="L4" s="1057"/>
      <c r="M4" s="1057"/>
      <c r="N4" s="1057"/>
      <c r="O4" s="1057"/>
      <c r="P4" s="1057"/>
      <c r="Q4" s="1057"/>
    </row>
    <row r="5" spans="1:18" ht="24.95" customHeight="1">
      <c r="B5" s="771" t="s">
        <v>6</v>
      </c>
      <c r="C5" s="1057" t="str">
        <f>'Planilha Orçamentária'!C13</f>
        <v>RUA 20 - BAIRRO FÁTIMA CIDADE JARDIM - GUARAPARI - ES</v>
      </c>
      <c r="D5" s="1057"/>
      <c r="E5" s="1057"/>
      <c r="F5" s="1057"/>
      <c r="G5" s="1057"/>
      <c r="H5" s="1057"/>
      <c r="I5" s="1057"/>
      <c r="J5" s="1057"/>
      <c r="K5" s="1057"/>
      <c r="L5" s="1057"/>
      <c r="M5" s="1057"/>
      <c r="N5" s="1057"/>
      <c r="O5" s="1057"/>
      <c r="P5" s="1057"/>
      <c r="Q5" s="1057"/>
    </row>
    <row r="6" spans="1:18" ht="24.95" customHeight="1">
      <c r="B6" s="771" t="s">
        <v>8</v>
      </c>
      <c r="C6" s="1058">
        <f>'Planilha Orçamentária'!H13</f>
        <v>44314</v>
      </c>
      <c r="D6" s="1058"/>
      <c r="E6" s="1058"/>
      <c r="F6" s="1058"/>
      <c r="G6" s="1058"/>
      <c r="H6" s="1058"/>
      <c r="I6" s="1058"/>
      <c r="J6" s="1058"/>
      <c r="K6" s="1058"/>
      <c r="L6" s="1058"/>
      <c r="M6" s="1058"/>
      <c r="N6" s="1058"/>
      <c r="O6" s="1058"/>
      <c r="P6" s="1058"/>
      <c r="Q6" s="1058"/>
    </row>
    <row r="7" spans="1:18" ht="23.45" customHeight="1">
      <c r="B7" s="772"/>
      <c r="C7" s="772"/>
      <c r="D7" s="772"/>
      <c r="E7" s="772"/>
      <c r="F7" s="772"/>
      <c r="G7" s="772"/>
      <c r="H7" s="772"/>
      <c r="I7" s="772"/>
      <c r="J7" s="772"/>
      <c r="K7" s="772"/>
      <c r="L7" s="772"/>
      <c r="M7" s="772"/>
      <c r="N7" s="772"/>
      <c r="O7" s="772"/>
      <c r="P7" s="772"/>
      <c r="Q7" s="772"/>
    </row>
    <row r="8" spans="1:18" ht="23.45" customHeight="1">
      <c r="B8" s="1063" t="s">
        <v>13</v>
      </c>
      <c r="C8" s="1063" t="s">
        <v>1141</v>
      </c>
      <c r="D8" s="1063" t="s">
        <v>1142</v>
      </c>
      <c r="E8" s="1063"/>
      <c r="F8" s="773" t="s">
        <v>1143</v>
      </c>
      <c r="G8" s="773" t="s">
        <v>1144</v>
      </c>
      <c r="H8" s="773" t="s">
        <v>1145</v>
      </c>
      <c r="I8" s="773" t="s">
        <v>1146</v>
      </c>
      <c r="J8" s="773" t="s">
        <v>1147</v>
      </c>
      <c r="K8" s="773" t="s">
        <v>1148</v>
      </c>
      <c r="L8" s="773" t="s">
        <v>1149</v>
      </c>
      <c r="M8" s="773" t="s">
        <v>1150</v>
      </c>
      <c r="N8" s="773" t="s">
        <v>1151</v>
      </c>
      <c r="O8" s="773" t="s">
        <v>1152</v>
      </c>
      <c r="P8" s="773" t="s">
        <v>1153</v>
      </c>
      <c r="Q8" s="773" t="s">
        <v>1154</v>
      </c>
    </row>
    <row r="9" spans="1:18" ht="37.5" customHeight="1">
      <c r="B9" s="1063"/>
      <c r="C9" s="1063"/>
      <c r="D9" s="1063"/>
      <c r="E9" s="1063"/>
      <c r="F9" s="774" t="s">
        <v>1155</v>
      </c>
      <c r="G9" s="774" t="s">
        <v>1155</v>
      </c>
      <c r="H9" s="774" t="s">
        <v>1155</v>
      </c>
      <c r="I9" s="774" t="s">
        <v>1155</v>
      </c>
      <c r="J9" s="774" t="s">
        <v>1155</v>
      </c>
      <c r="K9" s="774" t="s">
        <v>1155</v>
      </c>
      <c r="L9" s="774" t="s">
        <v>1155</v>
      </c>
      <c r="M9" s="774" t="s">
        <v>1155</v>
      </c>
      <c r="N9" s="774" t="s">
        <v>1155</v>
      </c>
      <c r="O9" s="774" t="s">
        <v>1155</v>
      </c>
      <c r="P9" s="774" t="s">
        <v>1155</v>
      </c>
      <c r="Q9" s="774" t="s">
        <v>1155</v>
      </c>
    </row>
    <row r="10" spans="1:18" ht="20.100000000000001" customHeight="1">
      <c r="A10" s="775"/>
      <c r="B10" s="1064">
        <v>1</v>
      </c>
      <c r="C10" s="1066" t="s">
        <v>21</v>
      </c>
      <c r="D10" s="1070">
        <f ca="1">E10/$E$64</f>
        <v>5.2277565176829495E-3</v>
      </c>
      <c r="E10" s="1072">
        <f>SUM('Planilha Orçamentária'!H21:H22)</f>
        <v>19916.951000000001</v>
      </c>
      <c r="F10" s="777">
        <f>E10*F11</f>
        <v>19916.951000000001</v>
      </c>
      <c r="G10" s="777"/>
      <c r="H10" s="778"/>
      <c r="I10" s="778"/>
      <c r="J10" s="778"/>
      <c r="K10" s="778"/>
      <c r="L10" s="778"/>
      <c r="M10" s="778"/>
      <c r="N10" s="778"/>
      <c r="O10" s="778"/>
      <c r="P10" s="778"/>
      <c r="Q10" s="778"/>
      <c r="R10" s="794"/>
    </row>
    <row r="11" spans="1:18" ht="20.100000000000001" customHeight="1">
      <c r="A11" s="775"/>
      <c r="B11" s="1064"/>
      <c r="C11" s="1066"/>
      <c r="D11" s="1070">
        <f ca="1">E11/$E$64</f>
        <v>0</v>
      </c>
      <c r="E11" s="1072"/>
      <c r="F11" s="779">
        <v>1</v>
      </c>
      <c r="G11" s="780"/>
      <c r="H11" s="778"/>
      <c r="I11" s="778"/>
      <c r="J11" s="778"/>
      <c r="K11" s="778"/>
      <c r="L11" s="778"/>
      <c r="M11" s="778"/>
      <c r="N11" s="778"/>
      <c r="O11" s="778"/>
      <c r="P11" s="778"/>
      <c r="Q11" s="778"/>
      <c r="R11" s="794"/>
    </row>
    <row r="12" spans="1:18" ht="20.100000000000001" customHeight="1">
      <c r="A12" s="775"/>
      <c r="B12" s="1064">
        <v>2</v>
      </c>
      <c r="C12" s="1066" t="s">
        <v>31</v>
      </c>
      <c r="D12" s="1070">
        <f ca="1">E12/$E$64</f>
        <v>1.4836435483162717E-2</v>
      </c>
      <c r="E12" s="1072">
        <f>SUM('Planilha Orçamentária'!H24:H33)</f>
        <v>56524.544999999991</v>
      </c>
      <c r="F12" s="777">
        <f>$E$12*F13</f>
        <v>45219.635999999999</v>
      </c>
      <c r="G12" s="777">
        <f>$E$12*G13</f>
        <v>11304.909</v>
      </c>
      <c r="H12" s="777"/>
      <c r="I12" s="777"/>
      <c r="J12" s="777"/>
      <c r="K12" s="777"/>
      <c r="L12" s="777"/>
      <c r="M12" s="777"/>
      <c r="N12" s="777"/>
      <c r="O12" s="777"/>
      <c r="P12" s="777"/>
      <c r="Q12" s="778"/>
      <c r="R12" s="794"/>
    </row>
    <row r="13" spans="1:18" ht="20.100000000000001" customHeight="1">
      <c r="A13" s="775"/>
      <c r="B13" s="1064"/>
      <c r="C13" s="1066"/>
      <c r="D13" s="1070"/>
      <c r="E13" s="1072"/>
      <c r="F13" s="779">
        <v>0.8</v>
      </c>
      <c r="G13" s="779">
        <v>0.2</v>
      </c>
      <c r="H13" s="780"/>
      <c r="I13" s="780"/>
      <c r="J13" s="780"/>
      <c r="K13" s="780"/>
      <c r="L13" s="780"/>
      <c r="M13" s="780"/>
      <c r="N13" s="780"/>
      <c r="O13" s="780"/>
      <c r="P13" s="780"/>
      <c r="Q13" s="778"/>
      <c r="R13" s="794"/>
    </row>
    <row r="14" spans="1:18" ht="20.100000000000001" customHeight="1">
      <c r="A14" s="775"/>
      <c r="B14" s="1064">
        <v>3</v>
      </c>
      <c r="C14" s="1066" t="str">
        <f>[2]Planilha!C35</f>
        <v>MOVIMENTO DE TERRA</v>
      </c>
      <c r="D14" s="1070">
        <f ca="1">E14/$E$64</f>
        <v>5.693202834183779E-2</v>
      </c>
      <c r="E14" s="1072">
        <f>SUM('Planilha Orçamentária'!H36:H43)</f>
        <v>216902.30120311113</v>
      </c>
      <c r="F14" s="777">
        <f>$E$14*F15</f>
        <v>130141.38072186668</v>
      </c>
      <c r="G14" s="777">
        <f>$E$14*G15</f>
        <v>86760.920481244451</v>
      </c>
      <c r="H14" s="777"/>
      <c r="I14" s="777"/>
      <c r="J14" s="777"/>
      <c r="K14" s="777"/>
      <c r="L14" s="777"/>
      <c r="M14" s="777"/>
      <c r="N14" s="777"/>
      <c r="O14" s="777"/>
      <c r="P14" s="777"/>
      <c r="Q14" s="777"/>
      <c r="R14" s="794"/>
    </row>
    <row r="15" spans="1:18" ht="20.100000000000001" customHeight="1">
      <c r="A15" s="775"/>
      <c r="B15" s="1064"/>
      <c r="C15" s="1066"/>
      <c r="D15" s="1070"/>
      <c r="E15" s="1072"/>
      <c r="F15" s="779">
        <v>0.6</v>
      </c>
      <c r="G15" s="779">
        <v>0.4</v>
      </c>
      <c r="H15" s="779"/>
      <c r="I15" s="779"/>
      <c r="J15" s="779"/>
      <c r="K15" s="779"/>
      <c r="L15" s="779"/>
      <c r="M15" s="779"/>
      <c r="N15" s="779"/>
      <c r="O15" s="779"/>
      <c r="P15" s="779"/>
      <c r="Q15" s="779"/>
      <c r="R15" s="794"/>
    </row>
    <row r="16" spans="1:18" ht="20.100000000000001" customHeight="1">
      <c r="A16" s="775"/>
      <c r="B16" s="1064">
        <v>4</v>
      </c>
      <c r="C16" s="1066" t="str">
        <f>[2]Planilha!C43</f>
        <v>ESTRUTURAS</v>
      </c>
      <c r="D16" s="1070">
        <f ca="1">E16/$E$64</f>
        <v>0.18529057668001131</v>
      </c>
      <c r="E16" s="1072">
        <f>SUM('Planilha Orçamentária'!H46:H60)</f>
        <v>705928.6950367</v>
      </c>
      <c r="F16" s="777"/>
      <c r="G16" s="777">
        <f>$E$16*G17</f>
        <v>141185.73900734002</v>
      </c>
      <c r="H16" s="777">
        <f>$E$16*H17</f>
        <v>352964.34751835</v>
      </c>
      <c r="I16" s="777">
        <f>$E$16*I17</f>
        <v>211778.60851100998</v>
      </c>
      <c r="J16" s="777"/>
      <c r="K16" s="780"/>
      <c r="L16" s="780"/>
      <c r="M16" s="780"/>
      <c r="N16" s="780"/>
      <c r="O16" s="780"/>
      <c r="P16" s="780"/>
      <c r="Q16" s="777"/>
      <c r="R16" s="794"/>
    </row>
    <row r="17" spans="1:20" ht="20.100000000000001" customHeight="1">
      <c r="A17" s="775"/>
      <c r="B17" s="1064"/>
      <c r="C17" s="1066"/>
      <c r="D17" s="1070"/>
      <c r="E17" s="1072"/>
      <c r="F17" s="779"/>
      <c r="G17" s="779">
        <v>0.2</v>
      </c>
      <c r="H17" s="779">
        <v>0.5</v>
      </c>
      <c r="I17" s="779">
        <v>0.3</v>
      </c>
      <c r="J17" s="779"/>
      <c r="K17" s="780"/>
      <c r="L17" s="780"/>
      <c r="M17" s="780"/>
      <c r="N17" s="780"/>
      <c r="O17" s="780"/>
      <c r="P17" s="780"/>
      <c r="Q17" s="780"/>
      <c r="R17" s="794"/>
    </row>
    <row r="18" spans="1:20" s="760" customFormat="1" ht="20.100000000000001" customHeight="1">
      <c r="A18" s="762"/>
      <c r="B18" s="1064">
        <v>5</v>
      </c>
      <c r="C18" s="1066" t="str">
        <f>[2]Planilha!C52</f>
        <v>PAREDES E PAINÉIS</v>
      </c>
      <c r="D18" s="1071">
        <f ca="1">E18/$E$64</f>
        <v>6.179397507580317E-2</v>
      </c>
      <c r="E18" s="1073">
        <f ca="1">SUM('Planilha Orçamentária'!H63:H71)</f>
        <v>235425.573</v>
      </c>
      <c r="F18" s="777"/>
      <c r="G18" s="777"/>
      <c r="H18" s="777"/>
      <c r="I18" s="777">
        <f ca="1">$E$18*I19</f>
        <v>47085.114600000001</v>
      </c>
      <c r="J18" s="777">
        <f ca="1">$E$18*J19</f>
        <v>117712.7865</v>
      </c>
      <c r="K18" s="777">
        <f ca="1">$E$18*K19</f>
        <v>70627.671900000001</v>
      </c>
      <c r="L18" s="777"/>
      <c r="M18" s="777"/>
      <c r="N18" s="777"/>
      <c r="O18" s="777"/>
      <c r="P18" s="777"/>
      <c r="Q18" s="777"/>
      <c r="R18" s="794"/>
    </row>
    <row r="19" spans="1:20" s="761" customFormat="1" ht="20.100000000000001" customHeight="1">
      <c r="A19" s="775"/>
      <c r="B19" s="1064"/>
      <c r="C19" s="1066"/>
      <c r="D19" s="1071"/>
      <c r="E19" s="1073"/>
      <c r="F19" s="779"/>
      <c r="G19" s="779"/>
      <c r="H19" s="779"/>
      <c r="I19" s="779">
        <v>0.2</v>
      </c>
      <c r="J19" s="779">
        <v>0.5</v>
      </c>
      <c r="K19" s="779">
        <v>0.3</v>
      </c>
      <c r="L19" s="779"/>
      <c r="M19" s="779"/>
      <c r="N19" s="780"/>
      <c r="O19" s="780"/>
      <c r="P19" s="780"/>
      <c r="Q19" s="780"/>
      <c r="R19" s="794"/>
    </row>
    <row r="20" spans="1:20" s="761" customFormat="1" ht="20.100000000000001" customHeight="1">
      <c r="A20" s="775"/>
      <c r="B20" s="1064">
        <v>6</v>
      </c>
      <c r="C20" s="1067" t="s">
        <v>161</v>
      </c>
      <c r="D20" s="1071">
        <f ca="1">E20/$E$64</f>
        <v>9.9220514681168191E-3</v>
      </c>
      <c r="E20" s="1073">
        <f>SUM('Planilha Orçamentária'!H74:H79)</f>
        <v>37801.495200000005</v>
      </c>
      <c r="F20" s="778"/>
      <c r="G20" s="781"/>
      <c r="H20" s="781"/>
      <c r="I20" s="778"/>
      <c r="J20" s="778"/>
      <c r="K20" s="777">
        <f>$E$20*K21</f>
        <v>7560.2990400000017</v>
      </c>
      <c r="L20" s="777"/>
      <c r="M20" s="777"/>
      <c r="N20" s="777">
        <f>$E$20*N21</f>
        <v>30241.196160000007</v>
      </c>
      <c r="O20" s="778"/>
      <c r="P20" s="778"/>
      <c r="Q20" s="777"/>
      <c r="R20" s="794"/>
    </row>
    <row r="21" spans="1:20" s="761" customFormat="1" ht="20.100000000000001" customHeight="1">
      <c r="A21" s="775"/>
      <c r="B21" s="1064"/>
      <c r="C21" s="1068"/>
      <c r="D21" s="1071"/>
      <c r="E21" s="1073"/>
      <c r="F21" s="778"/>
      <c r="G21" s="781"/>
      <c r="H21" s="781"/>
      <c r="I21" s="778"/>
      <c r="J21" s="778"/>
      <c r="K21" s="779">
        <v>0.2</v>
      </c>
      <c r="L21" s="779"/>
      <c r="M21" s="779"/>
      <c r="N21" s="779">
        <v>0.8</v>
      </c>
      <c r="O21" s="778"/>
      <c r="P21" s="778"/>
      <c r="Q21" s="780"/>
      <c r="R21" s="794"/>
    </row>
    <row r="22" spans="1:20" ht="20.100000000000001" customHeight="1">
      <c r="A22" s="775"/>
      <c r="B22" s="1064">
        <v>7</v>
      </c>
      <c r="C22" s="1066" t="str">
        <f>[2]Planilha!C57</f>
        <v>ESQUADRIAS METÁLICAS</v>
      </c>
      <c r="D22" s="1071">
        <f ca="1">E22/$E$64</f>
        <v>6.7582163899367109E-2</v>
      </c>
      <c r="E22" s="1073">
        <f>SUM('Planilha Orçamentária'!H82:H90)</f>
        <v>257477.68518</v>
      </c>
      <c r="F22" s="782"/>
      <c r="G22" s="782"/>
      <c r="H22" s="782"/>
      <c r="I22" s="778"/>
      <c r="J22" s="778"/>
      <c r="K22" s="777">
        <f>$E$22*K23</f>
        <v>128738.84259</v>
      </c>
      <c r="L22" s="777">
        <f>$E$22*L23</f>
        <v>128738.84259</v>
      </c>
      <c r="M22" s="777"/>
      <c r="N22" s="777"/>
      <c r="O22" s="781"/>
      <c r="P22" s="781"/>
      <c r="Q22" s="777"/>
      <c r="R22" s="794"/>
    </row>
    <row r="23" spans="1:20" ht="20.100000000000001" customHeight="1">
      <c r="A23" s="775"/>
      <c r="B23" s="1064"/>
      <c r="C23" s="1066"/>
      <c r="D23" s="1071"/>
      <c r="E23" s="1073"/>
      <c r="F23" s="782"/>
      <c r="G23" s="782"/>
      <c r="H23" s="782"/>
      <c r="I23" s="778"/>
      <c r="J23" s="778"/>
      <c r="K23" s="779">
        <v>0.5</v>
      </c>
      <c r="L23" s="779">
        <v>0.5</v>
      </c>
      <c r="M23" s="779"/>
      <c r="N23" s="779"/>
      <c r="O23" s="781"/>
      <c r="P23" s="781"/>
      <c r="Q23" s="780"/>
      <c r="R23" s="794"/>
    </row>
    <row r="24" spans="1:20" ht="20.100000000000001" customHeight="1">
      <c r="A24" s="775"/>
      <c r="B24" s="1064">
        <v>8</v>
      </c>
      <c r="C24" s="1066" t="str">
        <f>[2]Planilha!C63</f>
        <v>VIDROS E ESPELHOS</v>
      </c>
      <c r="D24" s="1071">
        <f ca="1">E24/$E$64</f>
        <v>7.7593308090976069E-4</v>
      </c>
      <c r="E24" s="1073">
        <f>SUM('Planilha Orçamentária'!H93)</f>
        <v>2956.1860999999999</v>
      </c>
      <c r="F24" s="777"/>
      <c r="G24" s="777"/>
      <c r="H24" s="781"/>
      <c r="I24" s="778"/>
      <c r="J24" s="778"/>
      <c r="K24" s="778"/>
      <c r="L24" s="778"/>
      <c r="M24" s="777">
        <f>$E$24*M25</f>
        <v>1478.0930499999999</v>
      </c>
      <c r="N24" s="777">
        <f>$E$24*N25</f>
        <v>1478.0930499999999</v>
      </c>
      <c r="O24" s="778"/>
      <c r="P24" s="777"/>
      <c r="Q24" s="777"/>
      <c r="R24" s="794"/>
    </row>
    <row r="25" spans="1:20" ht="20.100000000000001" customHeight="1">
      <c r="A25" s="775"/>
      <c r="B25" s="1064"/>
      <c r="C25" s="1066"/>
      <c r="D25" s="1071"/>
      <c r="E25" s="1073"/>
      <c r="F25" s="779"/>
      <c r="G25" s="779"/>
      <c r="H25" s="781"/>
      <c r="I25" s="778"/>
      <c r="J25" s="778"/>
      <c r="K25" s="778"/>
      <c r="L25" s="778"/>
      <c r="M25" s="779">
        <v>0.5</v>
      </c>
      <c r="N25" s="779">
        <v>0.5</v>
      </c>
      <c r="O25" s="778"/>
      <c r="P25" s="779"/>
      <c r="Q25" s="779"/>
      <c r="R25" s="794"/>
    </row>
    <row r="26" spans="1:20" s="762" customFormat="1" ht="20.100000000000001" customHeight="1">
      <c r="B26" s="1064">
        <v>9</v>
      </c>
      <c r="C26" s="1066" t="str">
        <f>[2]Planilha!C65</f>
        <v>COBERTURA</v>
      </c>
      <c r="D26" s="1071">
        <f ca="1">E26/$E$64</f>
        <v>6.3468198005432894E-2</v>
      </c>
      <c r="E26" s="1073">
        <f>SUM('Planilha Orçamentária'!H96:H102)</f>
        <v>241804.10573000001</v>
      </c>
      <c r="F26" s="777"/>
      <c r="G26" s="783"/>
      <c r="H26" s="783"/>
      <c r="I26" s="778"/>
      <c r="J26" s="777">
        <f>$E$26*J27</f>
        <v>120902.05286500001</v>
      </c>
      <c r="K26" s="777">
        <f>$E$26*K27</f>
        <v>120902.05286500001</v>
      </c>
      <c r="L26" s="777"/>
      <c r="M26" s="778"/>
      <c r="N26" s="783"/>
      <c r="O26" s="783"/>
      <c r="P26" s="783"/>
      <c r="Q26" s="777"/>
      <c r="R26" s="794"/>
      <c r="T26" s="795"/>
    </row>
    <row r="27" spans="1:20" ht="20.100000000000001" customHeight="1">
      <c r="A27" s="775"/>
      <c r="B27" s="1064"/>
      <c r="C27" s="1066"/>
      <c r="D27" s="1071"/>
      <c r="E27" s="1073"/>
      <c r="F27" s="779"/>
      <c r="G27" s="781"/>
      <c r="H27" s="781"/>
      <c r="I27" s="778"/>
      <c r="J27" s="779">
        <v>0.5</v>
      </c>
      <c r="K27" s="779">
        <v>0.5</v>
      </c>
      <c r="L27" s="779"/>
      <c r="M27" s="778"/>
      <c r="N27" s="781"/>
      <c r="O27" s="781"/>
      <c r="P27" s="781"/>
      <c r="Q27" s="780"/>
      <c r="R27" s="794"/>
    </row>
    <row r="28" spans="1:20" ht="20.100000000000001" customHeight="1">
      <c r="A28" s="775"/>
      <c r="B28" s="1064">
        <v>10</v>
      </c>
      <c r="C28" s="1066" t="str">
        <f>[2]Planilha!C74</f>
        <v>IMPERMEABILIZAÇÃO</v>
      </c>
      <c r="D28" s="1071">
        <f ca="1">E28/$E$64</f>
        <v>1.4550977673145294E-2</v>
      </c>
      <c r="E28" s="1073">
        <f>SUM('Planilha Orçamentária'!H104:H106)</f>
        <v>55436.994500000001</v>
      </c>
      <c r="F28" s="778"/>
      <c r="G28" s="777"/>
      <c r="H28" s="777">
        <f>$E$28*H29</f>
        <v>16631.09835</v>
      </c>
      <c r="I28" s="778"/>
      <c r="J28" s="777">
        <f>$E$28*J29</f>
        <v>16631.09835</v>
      </c>
      <c r="K28" s="777">
        <f>$E$28*K29</f>
        <v>22174.7978</v>
      </c>
      <c r="L28" s="777"/>
      <c r="M28" s="777"/>
      <c r="N28" s="777"/>
      <c r="O28" s="777"/>
      <c r="P28" s="778"/>
      <c r="Q28" s="778"/>
      <c r="R28" s="794"/>
    </row>
    <row r="29" spans="1:20" ht="20.100000000000001" customHeight="1">
      <c r="A29" s="775"/>
      <c r="B29" s="1064"/>
      <c r="C29" s="1066"/>
      <c r="D29" s="1071"/>
      <c r="E29" s="1073"/>
      <c r="F29" s="778"/>
      <c r="G29" s="779"/>
      <c r="H29" s="779">
        <v>0.3</v>
      </c>
      <c r="I29" s="778"/>
      <c r="J29" s="779">
        <v>0.3</v>
      </c>
      <c r="K29" s="779">
        <v>0.4</v>
      </c>
      <c r="L29" s="779"/>
      <c r="M29" s="779"/>
      <c r="N29" s="779"/>
      <c r="O29" s="779"/>
      <c r="P29" s="778"/>
      <c r="Q29" s="778"/>
      <c r="R29" s="794"/>
    </row>
    <row r="30" spans="1:20" s="763" customFormat="1" ht="20.100000000000001" customHeight="1">
      <c r="A30" s="762"/>
      <c r="B30" s="1064">
        <v>11</v>
      </c>
      <c r="C30" s="1066" t="str">
        <f>[2]Planilha!C77</f>
        <v>TETOS E FORROS</v>
      </c>
      <c r="D30" s="1071">
        <f ca="1">E30/$E$64</f>
        <v>1.4284474641465837E-2</v>
      </c>
      <c r="E30" s="1073">
        <f ca="1">SUM('Planilha Orçamentária'!H109:H110)</f>
        <v>54421.658799999997</v>
      </c>
      <c r="F30" s="784"/>
      <c r="G30" s="784"/>
      <c r="H30" s="785"/>
      <c r="I30" s="793"/>
      <c r="J30" s="793"/>
      <c r="K30" s="784"/>
      <c r="L30" s="777">
        <f t="shared" ref="L30:M30" ca="1" si="0">$E$30*L31</f>
        <v>27210.829399999999</v>
      </c>
      <c r="M30" s="777">
        <f t="shared" ca="1" si="0"/>
        <v>27210.829399999999</v>
      </c>
      <c r="N30" s="784"/>
      <c r="O30" s="784"/>
      <c r="P30" s="784"/>
      <c r="Q30" s="784"/>
      <c r="R30" s="762"/>
    </row>
    <row r="31" spans="1:20" ht="20.100000000000001" customHeight="1">
      <c r="A31" s="775"/>
      <c r="B31" s="1064"/>
      <c r="C31" s="1066"/>
      <c r="D31" s="1071"/>
      <c r="E31" s="1073"/>
      <c r="F31" s="784"/>
      <c r="G31" s="784"/>
      <c r="H31" s="781"/>
      <c r="I31" s="778"/>
      <c r="J31" s="778"/>
      <c r="K31" s="779"/>
      <c r="L31" s="779">
        <v>0.5</v>
      </c>
      <c r="M31" s="779">
        <v>0.5</v>
      </c>
      <c r="N31" s="779"/>
      <c r="O31" s="779"/>
      <c r="P31" s="779"/>
      <c r="Q31" s="779"/>
      <c r="R31" s="794"/>
    </row>
    <row r="32" spans="1:20" ht="20.100000000000001" customHeight="1">
      <c r="A32" s="775"/>
      <c r="B32" s="1064">
        <v>12</v>
      </c>
      <c r="C32" s="1066" t="s">
        <v>256</v>
      </c>
      <c r="D32" s="1071">
        <f ca="1">E32/$E$64</f>
        <v>9.9171722526557829E-2</v>
      </c>
      <c r="E32" s="1073">
        <f ca="1">SUM('Planilha Orçamentária'!H113:H124)</f>
        <v>377829.06136999995</v>
      </c>
      <c r="F32" s="777"/>
      <c r="G32" s="781"/>
      <c r="H32" s="777"/>
      <c r="I32" s="778"/>
      <c r="J32" s="777"/>
      <c r="K32" s="777">
        <f ca="1">$E$32*K33</f>
        <v>75565.812273999996</v>
      </c>
      <c r="L32" s="777">
        <f ca="1">$E$32*L33</f>
        <v>188914.53068499998</v>
      </c>
      <c r="M32" s="777">
        <f ca="1">$E$32*M33</f>
        <v>113348.71841099998</v>
      </c>
      <c r="N32" s="777"/>
      <c r="O32" s="777"/>
      <c r="P32" s="777"/>
      <c r="Q32" s="777"/>
      <c r="R32" s="794"/>
    </row>
    <row r="33" spans="1:20" ht="20.100000000000001" customHeight="1">
      <c r="A33" s="775"/>
      <c r="B33" s="1064"/>
      <c r="C33" s="1066"/>
      <c r="D33" s="1071"/>
      <c r="E33" s="1073"/>
      <c r="F33" s="780"/>
      <c r="G33" s="781"/>
      <c r="H33" s="779"/>
      <c r="I33" s="778"/>
      <c r="J33" s="777"/>
      <c r="K33" s="779">
        <v>0.2</v>
      </c>
      <c r="L33" s="779">
        <v>0.5</v>
      </c>
      <c r="M33" s="779">
        <v>0.3</v>
      </c>
      <c r="N33" s="779"/>
      <c r="O33" s="779"/>
      <c r="P33" s="779"/>
      <c r="Q33" s="779"/>
      <c r="R33" s="794"/>
    </row>
    <row r="34" spans="1:20" s="764" customFormat="1" ht="20.100000000000001" customHeight="1">
      <c r="A34" s="775"/>
      <c r="B34" s="1064">
        <v>13</v>
      </c>
      <c r="C34" s="1066" t="s">
        <v>293</v>
      </c>
      <c r="D34" s="1071">
        <f ca="1">E34/$E$64</f>
        <v>8.8378199338538632E-2</v>
      </c>
      <c r="E34" s="1073">
        <f ca="1">SUM('Planilha Orçamentária'!H127:H134)</f>
        <v>336707.39250000002</v>
      </c>
      <c r="F34" s="778"/>
      <c r="G34" s="781"/>
      <c r="H34" s="777"/>
      <c r="I34" s="778"/>
      <c r="J34" s="777">
        <f ca="1">$E$34*J35</f>
        <v>67341.478500000012</v>
      </c>
      <c r="K34" s="777">
        <f ca="1">$E$34*K35</f>
        <v>101012.21775</v>
      </c>
      <c r="L34" s="777"/>
      <c r="M34" s="777"/>
      <c r="N34" s="777"/>
      <c r="O34" s="777">
        <f t="shared" ref="O34" ca="1" si="1">$E$34*O35</f>
        <v>168353.69625000001</v>
      </c>
      <c r="P34" s="783"/>
      <c r="Q34" s="783"/>
      <c r="R34" s="794"/>
    </row>
    <row r="35" spans="1:20" s="764" customFormat="1" ht="20.100000000000001" customHeight="1">
      <c r="A35" s="775"/>
      <c r="B35" s="1064"/>
      <c r="C35" s="1066"/>
      <c r="D35" s="1071"/>
      <c r="E35" s="1073"/>
      <c r="F35" s="778"/>
      <c r="G35" s="781"/>
      <c r="H35" s="779"/>
      <c r="I35" s="775"/>
      <c r="J35" s="779">
        <v>0.2</v>
      </c>
      <c r="K35" s="779">
        <v>0.3</v>
      </c>
      <c r="L35" s="779"/>
      <c r="M35" s="779"/>
      <c r="N35" s="779"/>
      <c r="O35" s="779">
        <v>0.5</v>
      </c>
      <c r="P35" s="783"/>
      <c r="Q35" s="783"/>
      <c r="R35" s="794"/>
    </row>
    <row r="36" spans="1:20" s="764" customFormat="1" ht="20.100000000000001" customHeight="1">
      <c r="A36" s="775"/>
      <c r="B36" s="1064">
        <v>14</v>
      </c>
      <c r="C36" s="1066" t="s">
        <v>317</v>
      </c>
      <c r="D36" s="1071">
        <f ca="1">E36/$E$64</f>
        <v>3.7225148038398806E-3</v>
      </c>
      <c r="E36" s="1073">
        <f ca="1">SUM('Planilha Orçamentária'!H136:H139)</f>
        <v>14182.210799999999</v>
      </c>
      <c r="F36" s="781"/>
      <c r="G36" s="781"/>
      <c r="H36" s="777"/>
      <c r="I36" s="777"/>
      <c r="J36" s="777"/>
      <c r="K36" s="777"/>
      <c r="L36" s="777">
        <f ca="1">$E$36*L37</f>
        <v>3545.5526999999997</v>
      </c>
      <c r="M36" s="777">
        <f ca="1">$E$36*M37</f>
        <v>7091.1053999999995</v>
      </c>
      <c r="N36" s="777">
        <f ca="1">$E$36*N37</f>
        <v>3545.5526999999997</v>
      </c>
      <c r="O36" s="777"/>
      <c r="P36" s="783"/>
      <c r="Q36" s="783"/>
      <c r="R36" s="794"/>
    </row>
    <row r="37" spans="1:20" s="764" customFormat="1" ht="20.100000000000001" customHeight="1">
      <c r="A37" s="775"/>
      <c r="B37" s="1064"/>
      <c r="C37" s="1066"/>
      <c r="D37" s="1071"/>
      <c r="E37" s="1073"/>
      <c r="F37" s="781"/>
      <c r="G37" s="781"/>
      <c r="H37" s="779"/>
      <c r="I37" s="779"/>
      <c r="J37" s="779"/>
      <c r="K37" s="777"/>
      <c r="L37" s="779">
        <v>0.25</v>
      </c>
      <c r="M37" s="779">
        <v>0.5</v>
      </c>
      <c r="N37" s="779">
        <v>0.25</v>
      </c>
      <c r="O37" s="779"/>
      <c r="P37" s="783"/>
      <c r="Q37" s="783"/>
      <c r="R37" s="794"/>
    </row>
    <row r="38" spans="1:20" s="764" customFormat="1" ht="20.100000000000001" customHeight="1">
      <c r="A38" s="775"/>
      <c r="B38" s="1064">
        <v>15</v>
      </c>
      <c r="C38" s="1066" t="s">
        <v>330</v>
      </c>
      <c r="D38" s="1071">
        <f ca="1">E38/$E$64</f>
        <v>2.4074522688575788E-2</v>
      </c>
      <c r="E38" s="1073">
        <f>SUM('Planilha Orçamentária'!H141:H145)</f>
        <v>91720.241200000004</v>
      </c>
      <c r="F38" s="781"/>
      <c r="G38" s="781"/>
      <c r="H38" s="777"/>
      <c r="I38" s="777"/>
      <c r="J38" s="777"/>
      <c r="K38" s="777"/>
      <c r="L38" s="777"/>
      <c r="M38" s="777">
        <f>$E$38*M39</f>
        <v>22930.060300000001</v>
      </c>
      <c r="N38" s="777">
        <f>$E$38*N39</f>
        <v>45860.120600000002</v>
      </c>
      <c r="O38" s="777">
        <f>$E$38*O39</f>
        <v>22930.060300000001</v>
      </c>
      <c r="P38" s="783"/>
      <c r="Q38" s="783"/>
      <c r="R38" s="794"/>
    </row>
    <row r="39" spans="1:20" s="764" customFormat="1" ht="20.100000000000001" customHeight="1">
      <c r="A39" s="775"/>
      <c r="B39" s="1064"/>
      <c r="C39" s="1066"/>
      <c r="D39" s="1071"/>
      <c r="E39" s="1073"/>
      <c r="F39" s="781"/>
      <c r="G39" s="781"/>
      <c r="H39" s="779"/>
      <c r="I39" s="779"/>
      <c r="J39" s="779"/>
      <c r="K39" s="779"/>
      <c r="L39" s="779"/>
      <c r="M39" s="779">
        <v>0.25</v>
      </c>
      <c r="N39" s="779">
        <v>0.5</v>
      </c>
      <c r="O39" s="779">
        <v>0.25</v>
      </c>
      <c r="P39" s="783"/>
      <c r="Q39" s="783"/>
      <c r="R39" s="794"/>
    </row>
    <row r="40" spans="1:20" ht="20.100000000000001" customHeight="1">
      <c r="A40" s="775"/>
      <c r="B40" s="1064">
        <v>16</v>
      </c>
      <c r="C40" s="1066" t="s">
        <v>1156</v>
      </c>
      <c r="D40" s="1070">
        <f ca="1">E40/$E$64</f>
        <v>3.2391065967976994E-2</v>
      </c>
      <c r="E40" s="1072">
        <f ca="1">SUM('Planilha Orçamentária'!H147:H151)</f>
        <v>123404.9963</v>
      </c>
      <c r="F40" s="781"/>
      <c r="G40" s="781"/>
      <c r="H40" s="781"/>
      <c r="I40" s="778"/>
      <c r="J40" s="778"/>
      <c r="K40" s="778"/>
      <c r="L40" s="777"/>
      <c r="M40" s="777">
        <f ca="1">$E$40*M41</f>
        <v>30851.249075</v>
      </c>
      <c r="N40" s="777">
        <f ca="1">$E$40*N41</f>
        <v>30851.249075</v>
      </c>
      <c r="O40" s="777">
        <f ca="1">$E$40*O41</f>
        <v>30851.249075</v>
      </c>
      <c r="P40" s="777">
        <f ca="1">$E$40*P41</f>
        <v>30851.249075</v>
      </c>
      <c r="Q40" s="777"/>
      <c r="R40" s="794"/>
    </row>
    <row r="41" spans="1:20" ht="20.100000000000001" customHeight="1">
      <c r="A41" s="775"/>
      <c r="B41" s="1064"/>
      <c r="C41" s="1066"/>
      <c r="D41" s="1070"/>
      <c r="E41" s="1072"/>
      <c r="F41" s="781"/>
      <c r="G41" s="781"/>
      <c r="H41" s="781"/>
      <c r="I41" s="778"/>
      <c r="J41" s="778"/>
      <c r="K41" s="778"/>
      <c r="L41" s="778"/>
      <c r="M41" s="779">
        <v>0.25</v>
      </c>
      <c r="N41" s="779">
        <v>0.25</v>
      </c>
      <c r="O41" s="779">
        <v>0.25</v>
      </c>
      <c r="P41" s="779">
        <v>0.25</v>
      </c>
      <c r="Q41" s="779"/>
      <c r="R41" s="794"/>
    </row>
    <row r="42" spans="1:20" ht="20.100000000000001" customHeight="1">
      <c r="A42" s="775"/>
      <c r="B42" s="1064">
        <v>17</v>
      </c>
      <c r="C42" s="1066" t="s">
        <v>362</v>
      </c>
      <c r="D42" s="1070">
        <f ca="1">E42/$E$64</f>
        <v>6.6396075923376804E-2</v>
      </c>
      <c r="E42" s="1072">
        <f>SUM('Planilha Orçamentária'!H154:H243)</f>
        <v>252958.87179999999</v>
      </c>
      <c r="F42" s="777"/>
      <c r="G42" s="777"/>
      <c r="H42" s="781"/>
      <c r="I42" s="778"/>
      <c r="J42" s="777">
        <f>$E$42*J43</f>
        <v>12647.943590000001</v>
      </c>
      <c r="K42" s="778"/>
      <c r="L42" s="777">
        <f>$E$42*L43</f>
        <v>63239.717949999998</v>
      </c>
      <c r="M42" s="777">
        <f>$E$42*M43</f>
        <v>63239.717949999998</v>
      </c>
      <c r="N42" s="777">
        <f>$E$42*N43</f>
        <v>63239.717949999998</v>
      </c>
      <c r="O42" s="777">
        <f>$E$42*O43</f>
        <v>50591.774360000003</v>
      </c>
      <c r="P42" s="777"/>
      <c r="Q42" s="777"/>
      <c r="R42" s="794"/>
      <c r="T42" s="796"/>
    </row>
    <row r="43" spans="1:20" ht="20.100000000000001" customHeight="1">
      <c r="A43" s="775"/>
      <c r="B43" s="1064"/>
      <c r="C43" s="1066"/>
      <c r="D43" s="1070"/>
      <c r="E43" s="1072"/>
      <c r="F43" s="779"/>
      <c r="G43" s="780"/>
      <c r="H43" s="781"/>
      <c r="I43" s="778"/>
      <c r="J43" s="779">
        <v>0.05</v>
      </c>
      <c r="K43" s="778"/>
      <c r="L43" s="779">
        <v>0.25</v>
      </c>
      <c r="M43" s="779">
        <v>0.25</v>
      </c>
      <c r="N43" s="779">
        <v>0.25</v>
      </c>
      <c r="O43" s="779">
        <v>0.2</v>
      </c>
      <c r="P43" s="779"/>
      <c r="Q43" s="779"/>
      <c r="R43" s="794"/>
    </row>
    <row r="44" spans="1:20" ht="20.100000000000001" customHeight="1">
      <c r="A44" s="775"/>
      <c r="B44" s="1064">
        <v>18</v>
      </c>
      <c r="C44" s="1066" t="s">
        <v>620</v>
      </c>
      <c r="D44" s="1070">
        <f ca="1">E44/$E$64</f>
        <v>1.5628911933058504E-2</v>
      </c>
      <c r="E44" s="1072">
        <f>SUM('Planilha Orçamentária'!H245:H272)</f>
        <v>59543.758800000003</v>
      </c>
      <c r="F44" s="778"/>
      <c r="G44" s="777"/>
      <c r="H44" s="781"/>
      <c r="I44" s="778"/>
      <c r="J44" s="778"/>
      <c r="K44" s="778"/>
      <c r="L44" s="778"/>
      <c r="M44" s="777">
        <f>$E$44*M45</f>
        <v>14885.939700000001</v>
      </c>
      <c r="N44" s="777">
        <f>$E$44*N45</f>
        <v>14885.939700000001</v>
      </c>
      <c r="O44" s="777">
        <f>$E$44*O45</f>
        <v>14885.939700000001</v>
      </c>
      <c r="P44" s="777">
        <f>$E$44*P45</f>
        <v>14885.939700000001</v>
      </c>
      <c r="Q44" s="777"/>
      <c r="R44" s="794"/>
    </row>
    <row r="45" spans="1:20" ht="20.100000000000001" customHeight="1">
      <c r="A45" s="775"/>
      <c r="B45" s="1064"/>
      <c r="C45" s="1066"/>
      <c r="D45" s="1070"/>
      <c r="E45" s="1072"/>
      <c r="F45" s="778"/>
      <c r="G45" s="779"/>
      <c r="H45" s="781"/>
      <c r="I45" s="778"/>
      <c r="J45" s="778"/>
      <c r="K45" s="778"/>
      <c r="L45" s="778"/>
      <c r="M45" s="779">
        <v>0.25</v>
      </c>
      <c r="N45" s="779">
        <v>0.25</v>
      </c>
      <c r="O45" s="779">
        <v>0.25</v>
      </c>
      <c r="P45" s="779">
        <v>0.25</v>
      </c>
      <c r="Q45" s="779"/>
      <c r="R45" s="794"/>
    </row>
    <row r="46" spans="1:20" ht="20.100000000000001" customHeight="1">
      <c r="A46" s="775"/>
      <c r="B46" s="1064">
        <v>19</v>
      </c>
      <c r="C46" s="1066" t="s">
        <v>1157</v>
      </c>
      <c r="D46" s="1070">
        <f ca="1">E46/$E$64</f>
        <v>4.0714632784542799E-2</v>
      </c>
      <c r="E46" s="1072">
        <f>SUM('Planilha Orçamentária'!H275:H343)</f>
        <v>155116.51</v>
      </c>
      <c r="F46" s="777"/>
      <c r="G46" s="781"/>
      <c r="H46" s="781"/>
      <c r="I46" s="778"/>
      <c r="J46" s="777">
        <f>$E$46*J47</f>
        <v>7755.8255000000008</v>
      </c>
      <c r="K46" s="778"/>
      <c r="L46" s="777">
        <f>$E$46*L47</f>
        <v>38779.127500000002</v>
      </c>
      <c r="M46" s="777">
        <f>$E$46*M47</f>
        <v>38779.127500000002</v>
      </c>
      <c r="N46" s="777">
        <f>$E$46*N47</f>
        <v>38779.127500000002</v>
      </c>
      <c r="O46" s="777">
        <f>$E$46*O47</f>
        <v>31023.302000000003</v>
      </c>
      <c r="P46" s="777"/>
      <c r="Q46" s="777"/>
      <c r="R46" s="794"/>
    </row>
    <row r="47" spans="1:20" ht="20.100000000000001" customHeight="1">
      <c r="A47" s="775"/>
      <c r="B47" s="1064"/>
      <c r="C47" s="1066"/>
      <c r="D47" s="1070"/>
      <c r="E47" s="1072"/>
      <c r="F47" s="780"/>
      <c r="G47" s="781"/>
      <c r="H47" s="781"/>
      <c r="I47" s="778"/>
      <c r="J47" s="779">
        <v>0.05</v>
      </c>
      <c r="K47" s="778"/>
      <c r="L47" s="779">
        <v>0.25</v>
      </c>
      <c r="M47" s="779">
        <v>0.25</v>
      </c>
      <c r="N47" s="779">
        <v>0.25</v>
      </c>
      <c r="O47" s="779">
        <v>0.2</v>
      </c>
      <c r="P47" s="779"/>
      <c r="Q47" s="779"/>
      <c r="R47" s="794"/>
    </row>
    <row r="48" spans="1:20" ht="20.100000000000001" customHeight="1">
      <c r="A48" s="775"/>
      <c r="B48" s="1064">
        <v>20</v>
      </c>
      <c r="C48" s="1066" t="s">
        <v>893</v>
      </c>
      <c r="D48" s="1070">
        <f ca="1">E48/$E$64</f>
        <v>2.252255179813337E-2</v>
      </c>
      <c r="E48" s="1072">
        <f>SUM('Planilha Orçamentária'!H345:H361)</f>
        <v>85807.470000000016</v>
      </c>
      <c r="F48" s="781"/>
      <c r="G48" s="781"/>
      <c r="H48" s="781"/>
      <c r="I48" s="778"/>
      <c r="J48" s="778"/>
      <c r="K48" s="777">
        <f>$E$48*K49</f>
        <v>21451.867500000004</v>
      </c>
      <c r="L48" s="777">
        <f>$E$48*L49</f>
        <v>21451.867500000004</v>
      </c>
      <c r="M48" s="777">
        <f>$E$48*M49</f>
        <v>21451.867500000004</v>
      </c>
      <c r="N48" s="777">
        <f>$E$48*N49</f>
        <v>21451.867500000004</v>
      </c>
      <c r="O48" s="777"/>
      <c r="P48" s="777"/>
      <c r="Q48" s="777"/>
      <c r="R48" s="794"/>
    </row>
    <row r="49" spans="1:19" ht="20.100000000000001" customHeight="1">
      <c r="A49" s="775"/>
      <c r="B49" s="1064"/>
      <c r="C49" s="1066"/>
      <c r="D49" s="1070"/>
      <c r="E49" s="1072"/>
      <c r="F49" s="781"/>
      <c r="G49" s="781"/>
      <c r="H49" s="781"/>
      <c r="I49" s="778"/>
      <c r="J49" s="778"/>
      <c r="K49" s="779">
        <v>0.25</v>
      </c>
      <c r="L49" s="779">
        <v>0.25</v>
      </c>
      <c r="M49" s="779">
        <v>0.25</v>
      </c>
      <c r="N49" s="779">
        <v>0.25</v>
      </c>
      <c r="O49" s="779"/>
      <c r="P49" s="779"/>
      <c r="Q49" s="779"/>
      <c r="R49" s="794"/>
    </row>
    <row r="50" spans="1:19" ht="20.100000000000001" customHeight="1">
      <c r="A50" s="775"/>
      <c r="B50" s="1064">
        <v>21</v>
      </c>
      <c r="C50" s="1066" t="s">
        <v>1158</v>
      </c>
      <c r="D50" s="1070">
        <f ca="1">E50/$E$64</f>
        <v>7.9188409010592029E-3</v>
      </c>
      <c r="E50" s="1072">
        <f>SUM('Planilha Orçamentária'!H364:H380)</f>
        <v>30169.57</v>
      </c>
      <c r="F50" s="778"/>
      <c r="G50" s="777"/>
      <c r="H50" s="781"/>
      <c r="I50" s="778"/>
      <c r="J50" s="778"/>
      <c r="K50" s="778"/>
      <c r="L50" s="778"/>
      <c r="M50" s="778"/>
      <c r="N50" s="778"/>
      <c r="O50" s="777">
        <f>$E$50*O51</f>
        <v>15084.785</v>
      </c>
      <c r="P50" s="777">
        <f>$E$50*P51</f>
        <v>15084.785</v>
      </c>
      <c r="Q50" s="777"/>
      <c r="R50" s="794"/>
    </row>
    <row r="51" spans="1:19" ht="20.100000000000001" customHeight="1">
      <c r="A51" s="775"/>
      <c r="B51" s="1064"/>
      <c r="C51" s="1066"/>
      <c r="D51" s="1070"/>
      <c r="E51" s="1072"/>
      <c r="F51" s="778"/>
      <c r="G51" s="780"/>
      <c r="H51" s="781"/>
      <c r="I51" s="778"/>
      <c r="J51" s="778"/>
      <c r="K51" s="778"/>
      <c r="L51" s="778"/>
      <c r="M51" s="778"/>
      <c r="N51" s="778"/>
      <c r="O51" s="779">
        <v>0.5</v>
      </c>
      <c r="P51" s="779">
        <v>0.5</v>
      </c>
      <c r="Q51" s="779"/>
      <c r="R51" s="794"/>
    </row>
    <row r="52" spans="1:19" ht="20.100000000000001" customHeight="1">
      <c r="A52" s="775"/>
      <c r="B52" s="1064">
        <v>22</v>
      </c>
      <c r="C52" s="1066" t="s">
        <v>994</v>
      </c>
      <c r="D52" s="1070">
        <f ca="1">E52/$E$64</f>
        <v>3.4623203986729294E-3</v>
      </c>
      <c r="E52" s="1072">
        <f>SUM('Planilha Orçamentária'!H382)</f>
        <v>13190.91</v>
      </c>
      <c r="F52" s="778"/>
      <c r="G52" s="778"/>
      <c r="H52" s="777"/>
      <c r="I52" s="778"/>
      <c r="J52" s="778"/>
      <c r="K52" s="778"/>
      <c r="L52" s="777">
        <f>$E$52*L53</f>
        <v>6595.4549999999999</v>
      </c>
      <c r="M52" s="777">
        <f>$E$52*M53</f>
        <v>6595.4549999999999</v>
      </c>
      <c r="N52" s="777"/>
      <c r="O52" s="777"/>
      <c r="P52" s="777"/>
      <c r="Q52" s="777"/>
      <c r="R52" s="794"/>
    </row>
    <row r="53" spans="1:19" ht="20.100000000000001" customHeight="1">
      <c r="A53" s="775"/>
      <c r="B53" s="1064"/>
      <c r="C53" s="1066"/>
      <c r="D53" s="1070"/>
      <c r="E53" s="1072"/>
      <c r="F53" s="778"/>
      <c r="G53" s="778"/>
      <c r="H53" s="779"/>
      <c r="I53" s="778"/>
      <c r="J53" s="778"/>
      <c r="K53" s="778"/>
      <c r="L53" s="779">
        <v>0.5</v>
      </c>
      <c r="M53" s="779">
        <v>0.5</v>
      </c>
      <c r="N53" s="779"/>
      <c r="O53" s="779"/>
      <c r="P53" s="779"/>
      <c r="Q53" s="779"/>
      <c r="R53" s="794"/>
    </row>
    <row r="54" spans="1:19" s="764" customFormat="1" ht="20.100000000000001" customHeight="1">
      <c r="A54" s="775"/>
      <c r="B54" s="1064">
        <v>23</v>
      </c>
      <c r="C54" s="1069" t="s">
        <v>998</v>
      </c>
      <c r="D54" s="1070">
        <f ca="1">E54/$E$64</f>
        <v>1.4452906929656182E-2</v>
      </c>
      <c r="E54" s="1072">
        <f>SUM('Planilha Orçamentária'!H384:H400)</f>
        <v>55063.360000000001</v>
      </c>
      <c r="F54" s="778"/>
      <c r="G54" s="778"/>
      <c r="H54" s="781"/>
      <c r="I54" s="778"/>
      <c r="J54" s="778"/>
      <c r="K54" s="778"/>
      <c r="L54" s="777"/>
      <c r="M54" s="777">
        <f>$E$54*M55</f>
        <v>27531.68</v>
      </c>
      <c r="N54" s="777">
        <f>$E$54*N55</f>
        <v>16519.007999999998</v>
      </c>
      <c r="O54" s="777">
        <f>$E$54*O55</f>
        <v>11012.672</v>
      </c>
      <c r="P54" s="777"/>
      <c r="Q54" s="777"/>
      <c r="R54" s="794"/>
    </row>
    <row r="55" spans="1:19" ht="20.100000000000001" customHeight="1">
      <c r="A55" s="775"/>
      <c r="B55" s="1064"/>
      <c r="C55" s="1069"/>
      <c r="D55" s="1070"/>
      <c r="E55" s="1072"/>
      <c r="F55" s="778"/>
      <c r="G55" s="778"/>
      <c r="H55" s="781"/>
      <c r="I55" s="778"/>
      <c r="J55" s="778"/>
      <c r="K55" s="778"/>
      <c r="L55" s="779"/>
      <c r="M55" s="779">
        <v>0.5</v>
      </c>
      <c r="N55" s="779">
        <v>0.3</v>
      </c>
      <c r="O55" s="779">
        <v>0.2</v>
      </c>
      <c r="P55" s="779"/>
      <c r="Q55" s="779"/>
      <c r="R55" s="794"/>
    </row>
    <row r="56" spans="1:19" s="761" customFormat="1" ht="20.100000000000001" customHeight="1">
      <c r="A56" s="775"/>
      <c r="B56" s="1064">
        <v>24</v>
      </c>
      <c r="C56" s="1066" t="s">
        <v>1159</v>
      </c>
      <c r="D56" s="1070">
        <f ca="1">E56/$E$64</f>
        <v>2.4214894818976557E-2</v>
      </c>
      <c r="E56" s="1072">
        <f>SUM('Planilha Orçamentária'!H403:H421)</f>
        <v>92255.037500000006</v>
      </c>
      <c r="F56" s="778"/>
      <c r="G56" s="778"/>
      <c r="H56" s="781"/>
      <c r="I56" s="778"/>
      <c r="J56" s="778"/>
      <c r="K56" s="778"/>
      <c r="L56" s="778"/>
      <c r="M56" s="777"/>
      <c r="N56" s="777">
        <f>$E$56*N57</f>
        <v>23063.759375000001</v>
      </c>
      <c r="O56" s="777">
        <f>$E$56*O57</f>
        <v>23063.759375000001</v>
      </c>
      <c r="P56" s="777">
        <f>$E$56*P57</f>
        <v>23063.759375000001</v>
      </c>
      <c r="Q56" s="777">
        <f>$E$56*Q57</f>
        <v>23063.759375000001</v>
      </c>
      <c r="R56" s="794"/>
    </row>
    <row r="57" spans="1:19" ht="20.100000000000001" customHeight="1">
      <c r="A57" s="775"/>
      <c r="B57" s="1064"/>
      <c r="C57" s="1066"/>
      <c r="D57" s="1070"/>
      <c r="E57" s="1072"/>
      <c r="F57" s="778"/>
      <c r="G57" s="778"/>
      <c r="H57" s="781"/>
      <c r="I57" s="778"/>
      <c r="J57" s="778"/>
      <c r="K57" s="778"/>
      <c r="L57" s="778"/>
      <c r="M57" s="779"/>
      <c r="N57" s="779">
        <v>0.25</v>
      </c>
      <c r="O57" s="779">
        <v>0.25</v>
      </c>
      <c r="P57" s="779">
        <v>0.25</v>
      </c>
      <c r="Q57" s="779">
        <v>0.25</v>
      </c>
      <c r="R57" s="794"/>
    </row>
    <row r="58" spans="1:19" s="761" customFormat="1" ht="20.100000000000001" customHeight="1">
      <c r="A58" s="775"/>
      <c r="B58" s="1064">
        <v>25</v>
      </c>
      <c r="C58" s="1066" t="s">
        <v>1109</v>
      </c>
      <c r="D58" s="1070">
        <f ca="1">E58/$E$64</f>
        <v>1.2459358798582445E-2</v>
      </c>
      <c r="E58" s="1072">
        <f>SUM('Planilha Orçamentária'!H423:H425)</f>
        <v>47468.247199999998</v>
      </c>
      <c r="F58" s="778"/>
      <c r="G58" s="778"/>
      <c r="H58" s="786"/>
      <c r="I58" s="778"/>
      <c r="J58" s="778"/>
      <c r="K58" s="778"/>
      <c r="L58" s="778"/>
      <c r="M58" s="778"/>
      <c r="N58" s="777">
        <f>$E$58*N59</f>
        <v>9493.6494399999992</v>
      </c>
      <c r="O58" s="777">
        <f>$E$58*O59</f>
        <v>23734.123599999999</v>
      </c>
      <c r="P58" s="777">
        <f>$E$58*P59</f>
        <v>14240.47416</v>
      </c>
      <c r="Q58" s="777"/>
      <c r="R58" s="794"/>
    </row>
    <row r="59" spans="1:19" ht="20.100000000000001" customHeight="1">
      <c r="A59" s="775"/>
      <c r="B59" s="1064"/>
      <c r="C59" s="1066"/>
      <c r="D59" s="1070"/>
      <c r="E59" s="1072"/>
      <c r="F59" s="778"/>
      <c r="G59" s="778"/>
      <c r="H59" s="781"/>
      <c r="I59" s="778"/>
      <c r="J59" s="778"/>
      <c r="K59" s="778"/>
      <c r="L59" s="778"/>
      <c r="M59" s="778"/>
      <c r="N59" s="779">
        <v>0.2</v>
      </c>
      <c r="O59" s="779">
        <v>0.5</v>
      </c>
      <c r="P59" s="779">
        <v>0.3</v>
      </c>
      <c r="Q59" s="779"/>
      <c r="R59" s="794"/>
    </row>
    <row r="60" spans="1:19" s="761" customFormat="1" ht="20.100000000000001" customHeight="1">
      <c r="A60" s="775"/>
      <c r="B60" s="1064">
        <v>26</v>
      </c>
      <c r="C60" s="1066" t="s">
        <v>1118</v>
      </c>
      <c r="D60" s="1070">
        <f ca="1">E60/$E$64</f>
        <v>3.5651113058172684E-3</v>
      </c>
      <c r="E60" s="1072">
        <f>SUM('Planilha Orçamentária'!H427:H428)</f>
        <v>13582.527599999999</v>
      </c>
      <c r="F60" s="778"/>
      <c r="G60" s="778"/>
      <c r="H60" s="786"/>
      <c r="I60" s="778"/>
      <c r="J60" s="778"/>
      <c r="K60" s="778"/>
      <c r="L60" s="778"/>
      <c r="M60" s="778"/>
      <c r="N60" s="777"/>
      <c r="O60" s="777"/>
      <c r="P60" s="777"/>
      <c r="Q60" s="777">
        <f>$E$60*Q61</f>
        <v>13582.527599999999</v>
      </c>
      <c r="R60" s="794"/>
    </row>
    <row r="61" spans="1:19" ht="20.100000000000001" customHeight="1">
      <c r="A61" s="775"/>
      <c r="B61" s="1064"/>
      <c r="C61" s="1066"/>
      <c r="D61" s="1070"/>
      <c r="E61" s="1072"/>
      <c r="F61" s="778"/>
      <c r="G61" s="778"/>
      <c r="H61" s="781"/>
      <c r="I61" s="778"/>
      <c r="J61" s="778"/>
      <c r="K61" s="778"/>
      <c r="L61" s="778"/>
      <c r="M61" s="778"/>
      <c r="N61" s="779"/>
      <c r="O61" s="779"/>
      <c r="P61" s="779"/>
      <c r="Q61" s="779">
        <v>1</v>
      </c>
      <c r="R61" s="794"/>
    </row>
    <row r="62" spans="1:19" ht="30.95" customHeight="1">
      <c r="A62" s="775"/>
      <c r="B62" s="1064">
        <v>27</v>
      </c>
      <c r="C62" s="787" t="str">
        <f>[2]Planilha!C195</f>
        <v>ADMINISTRAÇÃO LOCAL</v>
      </c>
      <c r="D62" s="1070">
        <f ca="1">E62/$E$64</f>
        <v>4.6261798215699097E-2</v>
      </c>
      <c r="E62" s="1072">
        <f>SUM('Planilha Orçamentária'!G430)</f>
        <v>176250.36000000002</v>
      </c>
      <c r="F62" s="777">
        <f t="shared" ref="F62:Q62" si="2">$E$62*F63</f>
        <v>14687.53</v>
      </c>
      <c r="G62" s="777">
        <f t="shared" si="2"/>
        <v>14687.53</v>
      </c>
      <c r="H62" s="777">
        <f t="shared" si="2"/>
        <v>14687.53</v>
      </c>
      <c r="I62" s="777">
        <f t="shared" si="2"/>
        <v>14687.53</v>
      </c>
      <c r="J62" s="777">
        <f t="shared" si="2"/>
        <v>14687.53</v>
      </c>
      <c r="K62" s="777">
        <f t="shared" si="2"/>
        <v>14687.53</v>
      </c>
      <c r="L62" s="777">
        <f t="shared" si="2"/>
        <v>14687.53</v>
      </c>
      <c r="M62" s="777">
        <f t="shared" si="2"/>
        <v>14687.53</v>
      </c>
      <c r="N62" s="777">
        <f t="shared" si="2"/>
        <v>14687.53</v>
      </c>
      <c r="O62" s="777">
        <f t="shared" si="2"/>
        <v>14687.53</v>
      </c>
      <c r="P62" s="777">
        <f t="shared" si="2"/>
        <v>14687.53</v>
      </c>
      <c r="Q62" s="777">
        <f t="shared" si="2"/>
        <v>14687.53</v>
      </c>
      <c r="R62" s="794"/>
      <c r="S62" s="797"/>
    </row>
    <row r="63" spans="1:19" ht="47.1" customHeight="1">
      <c r="A63" s="775"/>
      <c r="B63" s="1064"/>
      <c r="C63" s="788" t="s">
        <v>1160</v>
      </c>
      <c r="D63" s="1070"/>
      <c r="E63" s="1072"/>
      <c r="F63" s="789">
        <f>1/12</f>
        <v>8.3333333333333329E-2</v>
      </c>
      <c r="G63" s="789">
        <f>1/12</f>
        <v>8.3333333333333329E-2</v>
      </c>
      <c r="H63" s="789">
        <f t="shared" ref="H63:Q63" si="3">1/12</f>
        <v>8.3333333333333329E-2</v>
      </c>
      <c r="I63" s="789">
        <f t="shared" si="3"/>
        <v>8.3333333333333329E-2</v>
      </c>
      <c r="J63" s="789">
        <f t="shared" si="3"/>
        <v>8.3333333333333329E-2</v>
      </c>
      <c r="K63" s="789">
        <f t="shared" si="3"/>
        <v>8.3333333333333329E-2</v>
      </c>
      <c r="L63" s="789">
        <f t="shared" si="3"/>
        <v>8.3333333333333329E-2</v>
      </c>
      <c r="M63" s="789">
        <f t="shared" si="3"/>
        <v>8.3333333333333329E-2</v>
      </c>
      <c r="N63" s="789">
        <f t="shared" si="3"/>
        <v>8.3333333333333329E-2</v>
      </c>
      <c r="O63" s="789">
        <f t="shared" si="3"/>
        <v>8.3333333333333329E-2</v>
      </c>
      <c r="P63" s="789">
        <f t="shared" si="3"/>
        <v>8.3333333333333329E-2</v>
      </c>
      <c r="Q63" s="789">
        <f t="shared" si="3"/>
        <v>8.3333333333333329E-2</v>
      </c>
      <c r="S63" s="798"/>
    </row>
    <row r="64" spans="1:19" ht="24.95" customHeight="1">
      <c r="B64" s="1065" t="s">
        <v>1161</v>
      </c>
      <c r="C64" s="791" t="s">
        <v>1162</v>
      </c>
      <c r="D64" s="792">
        <f ca="1">SUM(D10:D63)</f>
        <v>0.99999999999999989</v>
      </c>
      <c r="E64" s="776">
        <f ca="1">SUM(E10:E63)</f>
        <v>3809846.7158198114</v>
      </c>
      <c r="F64" s="1059"/>
      <c r="G64" s="1059"/>
      <c r="H64" s="1059"/>
      <c r="I64" s="1059"/>
      <c r="J64" s="1060"/>
      <c r="K64" s="1060"/>
      <c r="L64" s="1060"/>
      <c r="M64" s="1060"/>
      <c r="N64" s="1060"/>
      <c r="O64" s="1060"/>
      <c r="P64" s="1060"/>
      <c r="Q64" s="1061"/>
    </row>
    <row r="65" spans="2:20" ht="24.95" customHeight="1">
      <c r="B65" s="1065"/>
      <c r="C65" s="1062" t="s">
        <v>1163</v>
      </c>
      <c r="D65" s="1062"/>
      <c r="E65" s="1062"/>
      <c r="F65" s="800">
        <f>SUM(F10,F12,F14,F16,F18,F20,F22,F24,F26,F28,F30,F32,F34,F36,F38,F40,F42,F44,F46,F48,F50,F52,F54,F56,F58,F60,F62)</f>
        <v>209965.49772186668</v>
      </c>
      <c r="G65" s="800">
        <f>SUM(G10,G12,G14,G16,G18,G20,G22,G24,G26,G28,G30,G32,G34,G36,G38,G40,G42,G44,G46,G48,G50,G52,G54,G56,G58,G60,G62)</f>
        <v>253939.09848858448</v>
      </c>
      <c r="H65" s="800">
        <f t="shared" ref="H65:Q65" si="4">SUM(H10,H12,H14,H16,H18,H20,H22,H24,H26,H28,H30,H32,H34,H36,H38,H40,H42,H44,H46,H48,H50,H52,H54,H56,H58,H60,H62)</f>
        <v>384282.97586835001</v>
      </c>
      <c r="I65" s="800">
        <f t="shared" ca="1" si="4"/>
        <v>273551.25311101001</v>
      </c>
      <c r="J65" s="800">
        <f t="shared" ca="1" si="4"/>
        <v>357678.71530500002</v>
      </c>
      <c r="K65" s="800">
        <f t="shared" ca="1" si="4"/>
        <v>562721.09171900002</v>
      </c>
      <c r="L65" s="800">
        <f t="shared" ca="1" si="4"/>
        <v>493163.45332500001</v>
      </c>
      <c r="M65" s="800">
        <f t="shared" ca="1" si="4"/>
        <v>390081.37328600005</v>
      </c>
      <c r="N65" s="800">
        <f t="shared" ca="1" si="4"/>
        <v>314096.81105000002</v>
      </c>
      <c r="O65" s="800">
        <f t="shared" ca="1" si="4"/>
        <v>406218.89166000008</v>
      </c>
      <c r="P65" s="800">
        <f t="shared" ca="1" si="4"/>
        <v>112813.73731000001</v>
      </c>
      <c r="Q65" s="800">
        <f t="shared" si="4"/>
        <v>51333.816975000002</v>
      </c>
    </row>
    <row r="66" spans="2:20" ht="24.95" customHeight="1">
      <c r="B66" s="1065"/>
      <c r="C66" s="799" t="s">
        <v>1164</v>
      </c>
      <c r="D66" s="799"/>
      <c r="E66" s="799"/>
      <c r="F66" s="801">
        <f t="shared" ref="F66:Q66" ca="1" si="5">F65/$E$64</f>
        <v>5.5111271760624053E-2</v>
      </c>
      <c r="G66" s="801">
        <f t="shared" ca="1" si="5"/>
        <v>6.6653363620678183E-2</v>
      </c>
      <c r="H66" s="801">
        <f t="shared" ca="1" si="5"/>
        <v>0.1008657314932575</v>
      </c>
      <c r="I66" s="801">
        <f t="shared" ca="1" si="5"/>
        <v>7.1801117870472289E-2</v>
      </c>
      <c r="J66" s="801">
        <f t="shared" ca="1" si="5"/>
        <v>9.3882704996973584E-2</v>
      </c>
      <c r="K66" s="801">
        <f t="shared" ca="1" si="5"/>
        <v>0.1477017669457372</v>
      </c>
      <c r="L66" s="801">
        <f t="shared" ca="1" si="5"/>
        <v>0.12944443441181333</v>
      </c>
      <c r="M66" s="801">
        <f t="shared" ca="1" si="5"/>
        <v>0.10238768181046398</v>
      </c>
      <c r="N66" s="801">
        <f t="shared" ca="1" si="5"/>
        <v>8.2443424756634062E-2</v>
      </c>
      <c r="O66" s="801">
        <f t="shared" ca="1" si="5"/>
        <v>0.10662342135006053</v>
      </c>
      <c r="P66" s="801">
        <f t="shared" ca="1" si="5"/>
        <v>2.9611096121415607E-2</v>
      </c>
      <c r="Q66" s="801">
        <f t="shared" ca="1" si="5"/>
        <v>1.3473984861869666E-2</v>
      </c>
    </row>
    <row r="67" spans="2:20" ht="24.95" customHeight="1">
      <c r="B67" s="1065"/>
      <c r="C67" s="1062" t="s">
        <v>1165</v>
      </c>
      <c r="D67" s="1062"/>
      <c r="E67" s="1062"/>
      <c r="F67" s="800">
        <f>F65</f>
        <v>209965.49772186668</v>
      </c>
      <c r="G67" s="800">
        <f>F67+G65</f>
        <v>463904.59621045116</v>
      </c>
      <c r="H67" s="800">
        <f t="shared" ref="H67:Q67" si="6">G67+H65</f>
        <v>848187.57207880123</v>
      </c>
      <c r="I67" s="800">
        <f t="shared" ca="1" si="6"/>
        <v>1121738.8251898112</v>
      </c>
      <c r="J67" s="800">
        <f t="shared" ca="1" si="6"/>
        <v>1479417.5404948113</v>
      </c>
      <c r="K67" s="800">
        <f t="shared" ca="1" si="6"/>
        <v>2042138.6322138114</v>
      </c>
      <c r="L67" s="800">
        <f t="shared" ca="1" si="6"/>
        <v>2535302.0855388115</v>
      </c>
      <c r="M67" s="800">
        <f t="shared" ca="1" si="6"/>
        <v>2925383.4588248115</v>
      </c>
      <c r="N67" s="800">
        <f t="shared" ca="1" si="6"/>
        <v>3239480.2698748116</v>
      </c>
      <c r="O67" s="800">
        <f t="shared" ca="1" si="6"/>
        <v>3645699.1615348118</v>
      </c>
      <c r="P67" s="800">
        <f t="shared" ca="1" si="6"/>
        <v>3758512.8988448121</v>
      </c>
      <c r="Q67" s="819">
        <f t="shared" ca="1" si="6"/>
        <v>3809846.7158198119</v>
      </c>
    </row>
    <row r="68" spans="2:20" ht="24.95" customHeight="1">
      <c r="B68" s="790"/>
      <c r="C68" s="799" t="s">
        <v>1166</v>
      </c>
      <c r="D68" s="799"/>
      <c r="E68" s="799"/>
      <c r="F68" s="801">
        <f t="shared" ref="F68:Q68" ca="1" si="7">F67/$E$64</f>
        <v>5.5111271760624053E-2</v>
      </c>
      <c r="G68" s="801">
        <f t="shared" ca="1" si="7"/>
        <v>0.12176463538130224</v>
      </c>
      <c r="H68" s="801">
        <f t="shared" ca="1" si="7"/>
        <v>0.22263036687455975</v>
      </c>
      <c r="I68" s="801">
        <f t="shared" ca="1" si="7"/>
        <v>0.294431484745032</v>
      </c>
      <c r="J68" s="801">
        <f t="shared" ca="1" si="7"/>
        <v>0.3883141897420056</v>
      </c>
      <c r="K68" s="801">
        <f t="shared" ca="1" si="7"/>
        <v>0.53601595668774282</v>
      </c>
      <c r="L68" s="801">
        <f t="shared" ca="1" si="7"/>
        <v>0.66546039109955624</v>
      </c>
      <c r="M68" s="801">
        <f t="shared" ca="1" si="7"/>
        <v>0.76784807291002022</v>
      </c>
      <c r="N68" s="801">
        <f t="shared" ca="1" si="7"/>
        <v>0.85029149766665424</v>
      </c>
      <c r="O68" s="801">
        <f t="shared" ca="1" si="7"/>
        <v>0.95691491901671488</v>
      </c>
      <c r="P68" s="801">
        <f t="shared" ca="1" si="7"/>
        <v>0.98652601513813054</v>
      </c>
      <c r="Q68" s="820">
        <f t="shared" ca="1" si="7"/>
        <v>1.0000000000000002</v>
      </c>
    </row>
    <row r="69" spans="2:20">
      <c r="E69" s="767"/>
      <c r="F69" s="802"/>
      <c r="G69" s="802"/>
      <c r="H69" s="803"/>
      <c r="T69" s="766"/>
    </row>
    <row r="70" spans="2:20" ht="15.75">
      <c r="B70" s="804"/>
      <c r="C70" s="805" t="s">
        <v>1167</v>
      </c>
      <c r="D70" s="806"/>
      <c r="E70" s="807"/>
      <c r="F70" s="805" t="s">
        <v>1167</v>
      </c>
      <c r="G70" s="806"/>
      <c r="H70" s="806"/>
      <c r="I70" s="816"/>
      <c r="J70" s="816"/>
      <c r="K70" s="816"/>
      <c r="L70" s="816"/>
      <c r="M70" s="816"/>
      <c r="N70" s="816"/>
      <c r="O70" s="816"/>
      <c r="P70" s="816"/>
      <c r="Q70" s="821"/>
      <c r="T70" s="766"/>
    </row>
    <row r="71" spans="2:20" ht="15.75">
      <c r="B71" s="808"/>
      <c r="C71" s="809" t="s">
        <v>1132</v>
      </c>
      <c r="D71" s="810"/>
      <c r="E71" s="811"/>
      <c r="F71" s="809" t="s">
        <v>1133</v>
      </c>
      <c r="G71" s="810"/>
      <c r="H71" s="810"/>
      <c r="J71" s="817"/>
      <c r="Q71" s="822"/>
    </row>
    <row r="72" spans="2:20" ht="15.75">
      <c r="B72" s="808"/>
      <c r="C72" s="809" t="s">
        <v>1168</v>
      </c>
      <c r="D72" s="810"/>
      <c r="E72" s="811"/>
      <c r="F72" s="809" t="s">
        <v>1169</v>
      </c>
      <c r="G72" s="810"/>
      <c r="H72" s="810"/>
      <c r="Q72" s="822"/>
    </row>
    <row r="73" spans="2:20" ht="15.75">
      <c r="B73" s="812"/>
      <c r="C73" s="813" t="s">
        <v>1170</v>
      </c>
      <c r="D73" s="814"/>
      <c r="E73" s="815"/>
      <c r="F73" s="813" t="s">
        <v>1170</v>
      </c>
      <c r="G73" s="814"/>
      <c r="H73" s="814"/>
      <c r="I73" s="818"/>
      <c r="J73" s="818"/>
      <c r="K73" s="818"/>
      <c r="L73" s="818"/>
      <c r="M73" s="818"/>
      <c r="N73" s="818"/>
      <c r="O73" s="818"/>
      <c r="P73" s="818"/>
      <c r="Q73" s="823"/>
    </row>
  </sheetData>
  <mergeCells count="119">
    <mergeCell ref="E56:E57"/>
    <mergeCell ref="E58:E59"/>
    <mergeCell ref="E60:E61"/>
    <mergeCell ref="E62:E63"/>
    <mergeCell ref="D8:E9"/>
    <mergeCell ref="D62:D63"/>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D44:D45"/>
    <mergeCell ref="D46:D47"/>
    <mergeCell ref="D48:D49"/>
    <mergeCell ref="D50:D51"/>
    <mergeCell ref="D52:D53"/>
    <mergeCell ref="D54:D55"/>
    <mergeCell ref="D56:D57"/>
    <mergeCell ref="D58:D59"/>
    <mergeCell ref="D60:D61"/>
    <mergeCell ref="C48:C49"/>
    <mergeCell ref="C50:C51"/>
    <mergeCell ref="C52:C53"/>
    <mergeCell ref="C54:C55"/>
    <mergeCell ref="C56:C57"/>
    <mergeCell ref="C58:C59"/>
    <mergeCell ref="C60:C61"/>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B58:B59"/>
    <mergeCell ref="B60:B61"/>
    <mergeCell ref="B62:B63"/>
    <mergeCell ref="B64:B6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B40:B41"/>
    <mergeCell ref="B42:B43"/>
    <mergeCell ref="B44:B45"/>
    <mergeCell ref="B46:B47"/>
    <mergeCell ref="B48:B49"/>
    <mergeCell ref="B50:B51"/>
    <mergeCell ref="B52:B53"/>
    <mergeCell ref="B54:B55"/>
    <mergeCell ref="B56:B57"/>
    <mergeCell ref="B2:Q2"/>
    <mergeCell ref="B3:Q3"/>
    <mergeCell ref="C4:Q4"/>
    <mergeCell ref="C5:Q5"/>
    <mergeCell ref="C6:Q6"/>
    <mergeCell ref="F64:Q64"/>
    <mergeCell ref="C65:E65"/>
    <mergeCell ref="C67:E6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s>
  <pageMargins left="1.05" right="0.70069444444444495" top="0.75138888888888899" bottom="0.75138888888888899" header="0.51180555555555596" footer="0.51180555555555596"/>
  <pageSetup paperSize="9" scale="30" firstPageNumber="0" orientation="landscape" useFirstPageNumber="1"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MK1151"/>
  <sheetViews>
    <sheetView topLeftCell="A707" workbookViewId="0">
      <selection activeCell="E721" sqref="E721"/>
    </sheetView>
  </sheetViews>
  <sheetFormatPr defaultColWidth="9" defaultRowHeight="15"/>
  <cols>
    <col min="1" max="1" width="5.85546875" customWidth="1"/>
    <col min="2" max="2" width="32" customWidth="1"/>
    <col min="3" max="3" width="9.28515625"/>
    <col min="4" max="4" width="13.28515625" customWidth="1"/>
    <col min="5" max="5" width="11.42578125" customWidth="1"/>
    <col min="6" max="6" width="21.28515625" customWidth="1"/>
    <col min="7" max="7" width="16" customWidth="1"/>
    <col min="8" max="8" width="17.7109375" customWidth="1"/>
    <col min="9" max="9" width="15.7109375" customWidth="1"/>
    <col min="10" max="10" width="14.42578125" customWidth="1"/>
  </cols>
  <sheetData>
    <row r="2" spans="2:12">
      <c r="B2" s="1074" t="s">
        <v>1171</v>
      </c>
      <c r="C2" s="1074"/>
      <c r="D2" s="1074"/>
      <c r="E2" s="1074"/>
      <c r="F2" s="1074"/>
    </row>
    <row r="3" spans="2:12" s="577" customFormat="1"/>
    <row r="4" spans="2:12" s="577" customFormat="1">
      <c r="B4" s="578" t="s">
        <v>1172</v>
      </c>
      <c r="C4" s="582"/>
      <c r="D4" s="582"/>
      <c r="E4" s="582"/>
      <c r="F4" s="582"/>
      <c r="G4" s="582"/>
      <c r="I4" s="578" t="s">
        <v>1173</v>
      </c>
      <c r="K4" s="582"/>
      <c r="L4" s="582"/>
    </row>
    <row r="5" spans="2:12" s="577" customFormat="1">
      <c r="B5" s="582" t="s">
        <v>1174</v>
      </c>
      <c r="C5" s="582"/>
      <c r="D5" s="582"/>
      <c r="E5" s="582"/>
      <c r="F5" s="582"/>
      <c r="G5" s="582"/>
      <c r="H5" s="582"/>
      <c r="I5" s="582"/>
      <c r="J5" s="582"/>
      <c r="K5" s="582"/>
      <c r="L5" s="582"/>
    </row>
    <row r="6" spans="2:12" s="577" customFormat="1">
      <c r="B6" s="582"/>
      <c r="C6" s="582"/>
      <c r="D6" s="582"/>
      <c r="E6" s="582"/>
      <c r="F6" s="582"/>
      <c r="G6" s="582"/>
      <c r="H6" s="582"/>
      <c r="I6" s="582"/>
      <c r="J6" s="582"/>
      <c r="K6" s="582"/>
      <c r="L6" s="582"/>
    </row>
    <row r="7" spans="2:12" s="577" customFormat="1">
      <c r="B7" s="583" t="s">
        <v>1175</v>
      </c>
      <c r="C7" s="583"/>
      <c r="D7" s="584"/>
      <c r="E7" s="584"/>
      <c r="F7" s="584"/>
      <c r="G7" s="582"/>
      <c r="H7" s="582"/>
      <c r="I7" s="582"/>
      <c r="J7" s="582"/>
      <c r="K7" s="582"/>
      <c r="L7" s="582"/>
    </row>
    <row r="8" spans="2:12" s="577" customFormat="1">
      <c r="B8" s="584"/>
      <c r="C8" s="584"/>
      <c r="D8" s="584"/>
      <c r="E8" s="584"/>
      <c r="F8" s="584"/>
      <c r="G8" s="582"/>
      <c r="H8" s="582"/>
      <c r="I8" s="582"/>
      <c r="J8" s="582"/>
      <c r="K8" s="582"/>
      <c r="L8" s="582"/>
    </row>
    <row r="9" spans="2:12" s="577" customFormat="1">
      <c r="B9" s="585" t="s">
        <v>1176</v>
      </c>
      <c r="C9" s="1075" t="s">
        <v>1177</v>
      </c>
      <c r="D9" s="1075"/>
      <c r="E9" s="585" t="s">
        <v>1178</v>
      </c>
      <c r="F9" s="585" t="s">
        <v>1179</v>
      </c>
      <c r="G9" s="582"/>
      <c r="H9" s="582"/>
      <c r="I9" s="582"/>
      <c r="J9" s="582"/>
      <c r="K9" s="582"/>
      <c r="L9" s="582"/>
    </row>
    <row r="10" spans="2:12" s="577" customFormat="1" ht="28.5">
      <c r="B10" s="587" t="s">
        <v>1180</v>
      </c>
      <c r="C10" s="1076" t="s">
        <v>1181</v>
      </c>
      <c r="D10" s="1076"/>
      <c r="E10" s="588" t="s">
        <v>691</v>
      </c>
      <c r="F10" s="588">
        <v>525.04999999999995</v>
      </c>
      <c r="G10" s="582"/>
      <c r="H10" s="582"/>
      <c r="I10" s="582"/>
      <c r="J10" s="582"/>
      <c r="K10" s="604"/>
      <c r="L10" s="582"/>
    </row>
    <row r="11" spans="2:12" s="577" customFormat="1" ht="28.5">
      <c r="B11" s="587" t="s">
        <v>1182</v>
      </c>
      <c r="C11" s="1077" t="s">
        <v>1183</v>
      </c>
      <c r="D11" s="1077"/>
      <c r="E11" s="588" t="s">
        <v>691</v>
      </c>
      <c r="F11" s="588">
        <v>498.39</v>
      </c>
      <c r="G11" s="582"/>
      <c r="H11" s="582"/>
      <c r="I11" s="582"/>
      <c r="J11" s="582"/>
      <c r="K11" s="604"/>
      <c r="L11" s="582"/>
    </row>
    <row r="12" spans="2:12" s="577" customFormat="1">
      <c r="B12" s="589" t="s">
        <v>1184</v>
      </c>
      <c r="C12" s="1078" t="s">
        <v>1185</v>
      </c>
      <c r="D12" s="1078"/>
      <c r="E12" s="588" t="s">
        <v>691</v>
      </c>
      <c r="F12" s="588">
        <v>455.6</v>
      </c>
      <c r="G12" s="582"/>
      <c r="H12" s="582"/>
      <c r="I12" s="582"/>
      <c r="J12" s="582"/>
      <c r="K12" s="604"/>
      <c r="L12" s="582"/>
    </row>
    <row r="13" spans="2:12" s="577" customFormat="1" ht="15.75">
      <c r="B13" s="1079" t="s">
        <v>1186</v>
      </c>
      <c r="C13" s="1079"/>
      <c r="D13" s="1079"/>
      <c r="E13" s="1079"/>
      <c r="F13" s="590">
        <f>F12</f>
        <v>455.6</v>
      </c>
      <c r="G13" s="582"/>
      <c r="H13" s="582"/>
      <c r="I13" s="582"/>
      <c r="J13" s="582"/>
      <c r="K13" s="604"/>
      <c r="L13" s="582"/>
    </row>
    <row r="14" spans="2:12" s="577" customFormat="1">
      <c r="B14" s="582"/>
      <c r="C14" s="582"/>
      <c r="D14" s="582"/>
      <c r="E14" s="582"/>
      <c r="F14" s="582"/>
      <c r="G14" s="582"/>
      <c r="H14" s="582"/>
      <c r="I14" s="582"/>
      <c r="J14" s="582"/>
      <c r="K14" s="604"/>
      <c r="L14" s="582"/>
    </row>
    <row r="15" spans="2:12" s="577" customFormat="1">
      <c r="B15" s="585" t="s">
        <v>1187</v>
      </c>
      <c r="C15" s="585" t="s">
        <v>1178</v>
      </c>
      <c r="D15" s="585" t="s">
        <v>1188</v>
      </c>
      <c r="E15" s="585" t="s">
        <v>1189</v>
      </c>
      <c r="F15" s="585" t="s">
        <v>1190</v>
      </c>
      <c r="G15" s="585" t="s">
        <v>1191</v>
      </c>
      <c r="H15" s="585" t="s">
        <v>1192</v>
      </c>
      <c r="I15" s="585" t="s">
        <v>1179</v>
      </c>
      <c r="J15" s="585" t="s">
        <v>1193</v>
      </c>
      <c r="K15" s="604"/>
      <c r="L15" s="582"/>
    </row>
    <row r="16" spans="2:12" s="577" customFormat="1">
      <c r="B16" s="591" t="s">
        <v>1194</v>
      </c>
      <c r="C16" s="591" t="s">
        <v>1195</v>
      </c>
      <c r="D16" s="592">
        <v>6698</v>
      </c>
      <c r="E16" s="593">
        <v>1</v>
      </c>
      <c r="F16" s="593"/>
      <c r="G16" s="593"/>
      <c r="H16" s="593"/>
      <c r="I16" s="593">
        <v>21.76</v>
      </c>
      <c r="J16" s="593">
        <f>E16*I16</f>
        <v>21.76</v>
      </c>
      <c r="K16" s="604"/>
      <c r="L16" s="582"/>
    </row>
    <row r="17" spans="2:12" s="577" customFormat="1">
      <c r="B17" s="1080" t="s">
        <v>1196</v>
      </c>
      <c r="C17" s="1081"/>
      <c r="D17" s="1081"/>
      <c r="E17" s="1081"/>
      <c r="F17" s="1081"/>
      <c r="G17" s="1081"/>
      <c r="H17" s="1081"/>
      <c r="I17" s="1082"/>
      <c r="J17" s="599">
        <f>J16</f>
        <v>21.76</v>
      </c>
      <c r="K17" s="604"/>
      <c r="L17" s="582"/>
    </row>
    <row r="18" spans="2:12" s="577" customFormat="1">
      <c r="B18" s="582"/>
      <c r="C18" s="582"/>
      <c r="D18" s="582"/>
      <c r="E18" s="582"/>
      <c r="F18" s="582"/>
      <c r="G18" s="582"/>
      <c r="H18" s="582"/>
      <c r="I18" s="582"/>
      <c r="J18" s="582"/>
      <c r="K18" s="604"/>
      <c r="L18" s="582"/>
    </row>
    <row r="19" spans="2:12" s="577" customFormat="1">
      <c r="B19" s="585" t="s">
        <v>1197</v>
      </c>
      <c r="C19" s="585" t="s">
        <v>1178</v>
      </c>
      <c r="D19" s="585" t="s">
        <v>1188</v>
      </c>
      <c r="E19" s="585" t="s">
        <v>1189</v>
      </c>
      <c r="F19" s="585" t="s">
        <v>1190</v>
      </c>
      <c r="G19" s="585" t="s">
        <v>1191</v>
      </c>
      <c r="H19" s="585" t="s">
        <v>1192</v>
      </c>
      <c r="I19" s="585" t="s">
        <v>1179</v>
      </c>
      <c r="J19" s="585" t="s">
        <v>1193</v>
      </c>
      <c r="K19" s="604"/>
      <c r="L19" s="582"/>
    </row>
    <row r="20" spans="2:12" s="577" customFormat="1" ht="28.5">
      <c r="B20" s="594" t="s">
        <v>1198</v>
      </c>
      <c r="C20" s="591" t="s">
        <v>1199</v>
      </c>
      <c r="D20" s="595" t="s">
        <v>1200</v>
      </c>
      <c r="E20" s="593">
        <v>1</v>
      </c>
      <c r="F20" s="593"/>
      <c r="G20" s="593"/>
      <c r="H20" s="593"/>
      <c r="I20" s="593">
        <f>F13</f>
        <v>455.6</v>
      </c>
      <c r="J20" s="593">
        <f>I20</f>
        <v>455.6</v>
      </c>
      <c r="K20" s="604"/>
      <c r="L20" s="582"/>
    </row>
    <row r="21" spans="2:12" s="577" customFormat="1">
      <c r="B21" s="1080" t="s">
        <v>1196</v>
      </c>
      <c r="C21" s="1081"/>
      <c r="D21" s="1081"/>
      <c r="E21" s="1081"/>
      <c r="F21" s="1081"/>
      <c r="G21" s="1081"/>
      <c r="H21" s="1081"/>
      <c r="I21" s="1082"/>
      <c r="J21" s="599">
        <f>J20</f>
        <v>455.6</v>
      </c>
      <c r="K21" s="605"/>
      <c r="L21" s="582"/>
    </row>
    <row r="22" spans="2:12" s="577" customFormat="1">
      <c r="B22" s="582"/>
      <c r="C22" s="582"/>
      <c r="D22" s="582"/>
      <c r="E22" s="582"/>
      <c r="F22" s="582"/>
      <c r="G22" s="582"/>
      <c r="H22" s="582"/>
      <c r="I22" s="582"/>
      <c r="J22" s="582"/>
      <c r="K22" s="582"/>
      <c r="L22" s="582"/>
    </row>
    <row r="23" spans="2:12" s="577" customFormat="1">
      <c r="B23" s="1083" t="s">
        <v>1201</v>
      </c>
      <c r="C23" s="1083"/>
      <c r="D23" s="1083"/>
      <c r="E23" s="1083"/>
      <c r="F23" s="1083"/>
      <c r="G23" s="582"/>
      <c r="H23" s="582"/>
      <c r="I23" s="582"/>
      <c r="J23" s="582"/>
      <c r="K23" s="582"/>
      <c r="L23" s="582"/>
    </row>
    <row r="24" spans="2:12" s="577" customFormat="1">
      <c r="B24" s="1084" t="s">
        <v>1202</v>
      </c>
      <c r="C24" s="1084"/>
      <c r="D24" s="1084"/>
      <c r="E24" s="596" t="s">
        <v>1203</v>
      </c>
      <c r="F24" s="596" t="s">
        <v>1204</v>
      </c>
      <c r="G24" s="582"/>
      <c r="H24" s="582"/>
      <c r="I24" s="582"/>
      <c r="J24" s="582"/>
      <c r="K24" s="582"/>
      <c r="L24" s="582"/>
    </row>
    <row r="25" spans="2:12" s="577" customFormat="1">
      <c r="B25" s="1085" t="s">
        <v>1205</v>
      </c>
      <c r="C25" s="1085"/>
      <c r="D25" s="1085"/>
      <c r="E25" s="1171">
        <v>128.33000000000001</v>
      </c>
      <c r="F25" s="598">
        <f>J17</f>
        <v>21.76</v>
      </c>
      <c r="G25" s="582"/>
      <c r="H25" s="582"/>
      <c r="I25" s="582"/>
      <c r="J25" s="582"/>
      <c r="K25" s="582"/>
      <c r="L25" s="582"/>
    </row>
    <row r="26" spans="2:12" s="577" customFormat="1">
      <c r="B26" s="1085" t="s">
        <v>1206</v>
      </c>
      <c r="C26" s="1085"/>
      <c r="D26" s="1085"/>
      <c r="E26" s="1171"/>
      <c r="F26" s="598">
        <f>J21</f>
        <v>455.6</v>
      </c>
      <c r="G26" s="582"/>
      <c r="H26" s="582"/>
      <c r="I26" s="582"/>
      <c r="J26" s="582"/>
      <c r="K26" s="582"/>
      <c r="L26" s="582"/>
    </row>
    <row r="27" spans="2:12" s="577" customFormat="1">
      <c r="B27" s="1085" t="s">
        <v>1207</v>
      </c>
      <c r="C27" s="1085"/>
      <c r="D27" s="1085"/>
      <c r="E27" s="1171"/>
      <c r="F27" s="598">
        <v>0</v>
      </c>
      <c r="G27" s="582"/>
      <c r="H27" s="582"/>
      <c r="I27" s="582"/>
      <c r="J27" s="582"/>
      <c r="K27" s="582"/>
      <c r="L27" s="582"/>
    </row>
    <row r="28" spans="2:12" s="577" customFormat="1">
      <c r="B28" s="1085" t="s">
        <v>1208</v>
      </c>
      <c r="C28" s="1085"/>
      <c r="D28" s="1085"/>
      <c r="E28" s="1171"/>
      <c r="F28" s="598">
        <v>1</v>
      </c>
      <c r="G28" s="582"/>
      <c r="H28" s="582"/>
      <c r="I28" s="582"/>
      <c r="J28" s="582"/>
      <c r="K28" s="582"/>
      <c r="L28" s="582"/>
    </row>
    <row r="29" spans="2:12" s="577" customFormat="1">
      <c r="B29" s="1085" t="s">
        <v>1209</v>
      </c>
      <c r="C29" s="1085"/>
      <c r="D29" s="1085"/>
      <c r="E29" s="1171"/>
      <c r="F29" s="598">
        <f>F25+F27</f>
        <v>21.76</v>
      </c>
      <c r="G29" s="582"/>
      <c r="H29" s="582"/>
      <c r="I29" s="582"/>
      <c r="J29" s="582"/>
      <c r="K29" s="582"/>
      <c r="L29" s="582"/>
    </row>
    <row r="30" spans="2:12" s="577" customFormat="1">
      <c r="B30" s="1085" t="s">
        <v>1210</v>
      </c>
      <c r="C30" s="1085"/>
      <c r="D30" s="1085"/>
      <c r="E30" s="1171"/>
      <c r="F30" s="598">
        <f>(F25/F28)+(F27/F28)</f>
        <v>21.76</v>
      </c>
      <c r="G30" s="582"/>
      <c r="H30" s="582"/>
      <c r="I30" s="582"/>
      <c r="J30" s="582"/>
      <c r="K30" s="582"/>
      <c r="L30" s="582"/>
    </row>
    <row r="31" spans="2:12" s="577" customFormat="1">
      <c r="B31" s="1085" t="s">
        <v>1211</v>
      </c>
      <c r="C31" s="1085"/>
      <c r="D31" s="1085"/>
      <c r="E31" s="1171"/>
      <c r="F31" s="598">
        <f>F26+F30</f>
        <v>477.36</v>
      </c>
      <c r="G31" s="582"/>
      <c r="H31" s="582"/>
      <c r="I31" s="582"/>
      <c r="J31" s="582"/>
      <c r="K31" s="582"/>
      <c r="L31" s="582"/>
    </row>
    <row r="32" spans="2:12" s="577" customFormat="1">
      <c r="B32" s="1085" t="s">
        <v>1212</v>
      </c>
      <c r="C32" s="1085"/>
      <c r="D32" s="1085"/>
      <c r="E32" s="1171">
        <v>0</v>
      </c>
      <c r="F32" s="598">
        <f>F31*(E32/100)</f>
        <v>0</v>
      </c>
      <c r="G32" s="582"/>
      <c r="H32" s="582"/>
      <c r="I32" s="582"/>
      <c r="J32" s="582"/>
      <c r="K32" s="582"/>
      <c r="L32" s="582"/>
    </row>
    <row r="33" spans="2:12" s="577" customFormat="1">
      <c r="B33" s="1086" t="s">
        <v>1213</v>
      </c>
      <c r="C33" s="1086"/>
      <c r="D33" s="1086"/>
      <c r="E33" s="1171"/>
      <c r="F33" s="600">
        <f>F31+F32</f>
        <v>477.36</v>
      </c>
      <c r="G33" s="582"/>
      <c r="H33" s="582"/>
      <c r="I33" s="582"/>
      <c r="J33" s="582"/>
      <c r="K33" s="582"/>
      <c r="L33" s="582"/>
    </row>
    <row r="34" spans="2:12" s="577" customFormat="1"/>
    <row r="35" spans="2:12" s="577" customFormat="1"/>
    <row r="36" spans="2:12" s="577" customFormat="1"/>
    <row r="37" spans="2:12" s="577" customFormat="1"/>
    <row r="38" spans="2:12" s="577" customFormat="1">
      <c r="B38" s="578" t="s">
        <v>1214</v>
      </c>
      <c r="C38" s="582"/>
      <c r="D38" s="582"/>
      <c r="E38" s="582"/>
      <c r="F38" s="582"/>
      <c r="G38" s="582"/>
      <c r="I38" s="578" t="s">
        <v>1173</v>
      </c>
      <c r="K38" s="582"/>
    </row>
    <row r="39" spans="2:12" s="577" customFormat="1">
      <c r="B39" s="582" t="s">
        <v>1174</v>
      </c>
      <c r="C39" s="582"/>
      <c r="D39" s="582"/>
      <c r="E39" s="582"/>
      <c r="F39" s="582"/>
      <c r="G39" s="582"/>
      <c r="H39" s="582"/>
      <c r="I39" s="582"/>
      <c r="K39" s="582"/>
    </row>
    <row r="40" spans="2:12" s="577" customFormat="1">
      <c r="B40" s="582"/>
      <c r="C40" s="582"/>
      <c r="D40" s="582"/>
      <c r="E40" s="582"/>
      <c r="F40" s="582"/>
      <c r="G40" s="582"/>
      <c r="H40" s="582"/>
      <c r="I40" s="582"/>
      <c r="J40" s="582"/>
      <c r="K40" s="606"/>
    </row>
    <row r="41" spans="2:12" s="577" customFormat="1">
      <c r="B41" s="583" t="s">
        <v>1175</v>
      </c>
      <c r="C41" s="583"/>
      <c r="D41" s="584"/>
      <c r="E41" s="584"/>
      <c r="F41" s="584"/>
      <c r="G41" s="582"/>
      <c r="H41" s="582"/>
      <c r="I41" s="582"/>
      <c r="J41" s="582"/>
      <c r="K41" s="582"/>
    </row>
    <row r="42" spans="2:12" s="577" customFormat="1">
      <c r="B42" s="584"/>
      <c r="C42" s="584"/>
      <c r="D42" s="584"/>
      <c r="E42" s="584"/>
      <c r="F42" s="584"/>
      <c r="G42" s="582"/>
      <c r="H42" s="582"/>
      <c r="I42" s="582"/>
      <c r="J42" s="582"/>
      <c r="K42" s="582"/>
    </row>
    <row r="43" spans="2:12" s="577" customFormat="1">
      <c r="B43" s="585" t="s">
        <v>1176</v>
      </c>
      <c r="C43" s="1075" t="s">
        <v>1177</v>
      </c>
      <c r="D43" s="1075"/>
      <c r="E43" s="585" t="s">
        <v>1178</v>
      </c>
      <c r="F43" s="585" t="s">
        <v>1179</v>
      </c>
      <c r="G43" s="582"/>
      <c r="H43" s="582"/>
      <c r="I43" s="582"/>
      <c r="J43" s="582"/>
      <c r="K43" s="582"/>
    </row>
    <row r="44" spans="2:12" s="577" customFormat="1" ht="28.5">
      <c r="B44" s="587" t="s">
        <v>1180</v>
      </c>
      <c r="C44" s="1076" t="s">
        <v>1181</v>
      </c>
      <c r="D44" s="1076"/>
      <c r="E44" s="588" t="s">
        <v>691</v>
      </c>
      <c r="F44" s="588">
        <v>548.29999999999995</v>
      </c>
      <c r="G44" s="582"/>
      <c r="H44" s="582"/>
      <c r="I44" s="582"/>
      <c r="J44" s="582"/>
      <c r="K44" s="582"/>
    </row>
    <row r="45" spans="2:12" s="577" customFormat="1" ht="28.5">
      <c r="B45" s="587" t="s">
        <v>1182</v>
      </c>
      <c r="C45" s="1077" t="s">
        <v>1183</v>
      </c>
      <c r="D45" s="1077"/>
      <c r="E45" s="588" t="s">
        <v>691</v>
      </c>
      <c r="F45" s="588">
        <v>579.53</v>
      </c>
      <c r="G45" s="582"/>
      <c r="H45" s="582"/>
      <c r="I45" s="582"/>
      <c r="J45" s="582"/>
      <c r="K45" s="582"/>
    </row>
    <row r="46" spans="2:12" s="577" customFormat="1">
      <c r="B46" s="601" t="s">
        <v>1184</v>
      </c>
      <c r="C46" s="1078" t="s">
        <v>1185</v>
      </c>
      <c r="D46" s="1078"/>
      <c r="E46" s="588" t="s">
        <v>691</v>
      </c>
      <c r="F46" s="588">
        <v>550.76</v>
      </c>
      <c r="G46" s="582"/>
      <c r="H46" s="582"/>
      <c r="I46" s="582"/>
      <c r="J46" s="582"/>
      <c r="K46" s="607"/>
    </row>
    <row r="47" spans="2:12" s="577" customFormat="1" ht="15.75">
      <c r="B47" s="1079" t="s">
        <v>1186</v>
      </c>
      <c r="C47" s="1079"/>
      <c r="D47" s="1079"/>
      <c r="E47" s="1079"/>
      <c r="F47" s="590">
        <f>F44</f>
        <v>548.29999999999995</v>
      </c>
      <c r="G47" s="582"/>
      <c r="H47" s="582"/>
      <c r="I47" s="582"/>
      <c r="J47" s="582"/>
      <c r="K47" s="607"/>
    </row>
    <row r="48" spans="2:12" s="577" customFormat="1">
      <c r="B48" s="582"/>
      <c r="C48" s="582"/>
      <c r="D48" s="582"/>
      <c r="E48" s="582"/>
      <c r="F48" s="582"/>
      <c r="G48" s="582"/>
      <c r="H48" s="582"/>
      <c r="I48" s="582"/>
      <c r="J48" s="582"/>
      <c r="K48" s="607"/>
    </row>
    <row r="49" spans="2:11" s="577" customFormat="1">
      <c r="B49" s="585" t="s">
        <v>1187</v>
      </c>
      <c r="C49" s="585" t="s">
        <v>1178</v>
      </c>
      <c r="D49" s="585" t="s">
        <v>1188</v>
      </c>
      <c r="E49" s="585" t="s">
        <v>1189</v>
      </c>
      <c r="F49" s="585" t="s">
        <v>1190</v>
      </c>
      <c r="G49" s="585" t="s">
        <v>1191</v>
      </c>
      <c r="H49" s="585" t="s">
        <v>1192</v>
      </c>
      <c r="I49" s="585" t="s">
        <v>1179</v>
      </c>
      <c r="J49" s="585" t="s">
        <v>1193</v>
      </c>
      <c r="K49" s="608"/>
    </row>
    <row r="50" spans="2:11" s="577" customFormat="1">
      <c r="B50" s="591" t="s">
        <v>1215</v>
      </c>
      <c r="C50" s="591" t="s">
        <v>1195</v>
      </c>
      <c r="D50" s="592">
        <v>6698</v>
      </c>
      <c r="E50" s="591">
        <v>1</v>
      </c>
      <c r="F50" s="593"/>
      <c r="G50" s="593"/>
      <c r="H50" s="593"/>
      <c r="I50" s="593">
        <v>21.76</v>
      </c>
      <c r="J50" s="593">
        <f>E50*I50</f>
        <v>21.76</v>
      </c>
      <c r="K50" s="609"/>
    </row>
    <row r="51" spans="2:11" s="577" customFormat="1">
      <c r="B51" s="1080" t="s">
        <v>1196</v>
      </c>
      <c r="C51" s="1081"/>
      <c r="D51" s="1081"/>
      <c r="E51" s="1081"/>
      <c r="F51" s="1081"/>
      <c r="G51" s="1081"/>
      <c r="H51" s="1081"/>
      <c r="I51" s="1082"/>
      <c r="J51" s="599">
        <f>J50</f>
        <v>21.76</v>
      </c>
      <c r="K51" s="610"/>
    </row>
    <row r="52" spans="2:11" s="577" customFormat="1">
      <c r="B52" s="582"/>
      <c r="C52" s="582"/>
      <c r="D52" s="582"/>
      <c r="E52" s="582"/>
      <c r="F52" s="582"/>
      <c r="G52" s="582"/>
      <c r="H52" s="582"/>
      <c r="I52" s="582"/>
      <c r="J52" s="582"/>
      <c r="K52" s="607"/>
    </row>
    <row r="53" spans="2:11" s="577" customFormat="1">
      <c r="B53" s="585" t="s">
        <v>1197</v>
      </c>
      <c r="C53" s="585" t="s">
        <v>1178</v>
      </c>
      <c r="D53" s="585" t="s">
        <v>1188</v>
      </c>
      <c r="E53" s="585" t="s">
        <v>1189</v>
      </c>
      <c r="F53" s="585" t="s">
        <v>1190</v>
      </c>
      <c r="G53" s="585" t="s">
        <v>1191</v>
      </c>
      <c r="H53" s="585" t="s">
        <v>1192</v>
      </c>
      <c r="I53" s="585" t="s">
        <v>1179</v>
      </c>
      <c r="J53" s="585" t="s">
        <v>1193</v>
      </c>
      <c r="K53" s="608"/>
    </row>
    <row r="54" spans="2:11" s="577" customFormat="1" ht="28.5">
      <c r="B54" s="591" t="s">
        <v>1216</v>
      </c>
      <c r="C54" s="588" t="s">
        <v>1199</v>
      </c>
      <c r="D54" s="602" t="s">
        <v>1200</v>
      </c>
      <c r="E54" s="588">
        <v>1</v>
      </c>
      <c r="F54" s="603"/>
      <c r="G54" s="603"/>
      <c r="H54" s="603"/>
      <c r="I54" s="603">
        <f>F47</f>
        <v>548.29999999999995</v>
      </c>
      <c r="J54" s="603">
        <f>E54*I54</f>
        <v>548.29999999999995</v>
      </c>
      <c r="K54" s="611"/>
    </row>
    <row r="55" spans="2:11" s="577" customFormat="1">
      <c r="B55" s="1080" t="s">
        <v>1196</v>
      </c>
      <c r="C55" s="1081"/>
      <c r="D55" s="1081"/>
      <c r="E55" s="1081"/>
      <c r="F55" s="1081"/>
      <c r="G55" s="1081"/>
      <c r="H55" s="1081"/>
      <c r="I55" s="1082"/>
      <c r="J55" s="599">
        <f>J54</f>
        <v>548.29999999999995</v>
      </c>
      <c r="K55" s="610"/>
    </row>
    <row r="56" spans="2:11" s="577" customFormat="1">
      <c r="B56" s="582"/>
      <c r="C56" s="582"/>
      <c r="D56" s="582"/>
      <c r="E56" s="582"/>
      <c r="F56" s="582"/>
      <c r="G56" s="582"/>
      <c r="H56" s="582"/>
      <c r="I56" s="582"/>
      <c r="J56" s="582"/>
      <c r="K56" s="582"/>
    </row>
    <row r="57" spans="2:11" s="577" customFormat="1">
      <c r="B57" s="1083" t="s">
        <v>1201</v>
      </c>
      <c r="C57" s="1083"/>
      <c r="D57" s="1083"/>
      <c r="E57" s="1083"/>
      <c r="F57" s="1083"/>
      <c r="G57" s="582"/>
      <c r="H57" s="582"/>
      <c r="I57" s="582"/>
      <c r="J57" s="582"/>
      <c r="K57" s="582"/>
    </row>
    <row r="58" spans="2:11" s="577" customFormat="1">
      <c r="B58" s="1084" t="s">
        <v>1202</v>
      </c>
      <c r="C58" s="1084"/>
      <c r="D58" s="1084"/>
      <c r="E58" s="596" t="s">
        <v>1203</v>
      </c>
      <c r="F58" s="596" t="s">
        <v>1204</v>
      </c>
      <c r="G58" s="582"/>
      <c r="H58" s="582"/>
      <c r="I58" s="582"/>
      <c r="J58" s="582"/>
      <c r="K58" s="582"/>
    </row>
    <row r="59" spans="2:11" s="577" customFormat="1">
      <c r="B59" s="1085" t="s">
        <v>1205</v>
      </c>
      <c r="C59" s="1085"/>
      <c r="D59" s="1085"/>
      <c r="E59" s="1171">
        <v>128.33000000000001</v>
      </c>
      <c r="F59" s="598">
        <f>J51</f>
        <v>21.76</v>
      </c>
      <c r="G59" s="582"/>
      <c r="H59" s="582"/>
      <c r="I59" s="582"/>
      <c r="J59" s="582"/>
      <c r="K59" s="582"/>
    </row>
    <row r="60" spans="2:11" s="577" customFormat="1">
      <c r="B60" s="1085" t="s">
        <v>1206</v>
      </c>
      <c r="C60" s="1085"/>
      <c r="D60" s="1085"/>
      <c r="E60" s="1171"/>
      <c r="F60" s="598">
        <f>J55</f>
        <v>548.29999999999995</v>
      </c>
      <c r="G60" s="582"/>
      <c r="H60" s="582"/>
      <c r="I60" s="582"/>
      <c r="J60" s="582"/>
      <c r="K60" s="582"/>
    </row>
    <row r="61" spans="2:11" s="577" customFormat="1">
      <c r="B61" s="1085" t="s">
        <v>1207</v>
      </c>
      <c r="C61" s="1085"/>
      <c r="D61" s="1085"/>
      <c r="E61" s="1171"/>
      <c r="F61" s="598">
        <v>0</v>
      </c>
      <c r="G61" s="582"/>
      <c r="H61" s="582"/>
      <c r="I61" s="582"/>
      <c r="J61" s="582"/>
      <c r="K61" s="582"/>
    </row>
    <row r="62" spans="2:11" s="577" customFormat="1">
      <c r="B62" s="1085" t="s">
        <v>1208</v>
      </c>
      <c r="C62" s="1085"/>
      <c r="D62" s="1085"/>
      <c r="E62" s="1171"/>
      <c r="F62" s="598">
        <v>1</v>
      </c>
      <c r="G62" s="582"/>
      <c r="H62" s="582"/>
      <c r="I62" s="582"/>
      <c r="J62" s="582"/>
      <c r="K62" s="582"/>
    </row>
    <row r="63" spans="2:11" s="577" customFormat="1">
      <c r="B63" s="1085" t="s">
        <v>1209</v>
      </c>
      <c r="C63" s="1085"/>
      <c r="D63" s="1085"/>
      <c r="E63" s="1171"/>
      <c r="F63" s="598">
        <f>F59+F61</f>
        <v>21.76</v>
      </c>
      <c r="G63" s="582"/>
      <c r="H63" s="582"/>
      <c r="I63" s="582"/>
      <c r="J63" s="582"/>
      <c r="K63" s="582"/>
    </row>
    <row r="64" spans="2:11" s="577" customFormat="1">
      <c r="B64" s="1085" t="s">
        <v>1210</v>
      </c>
      <c r="C64" s="1085"/>
      <c r="D64" s="1085"/>
      <c r="E64" s="1171"/>
      <c r="F64" s="598">
        <f>(F59/F62)+(F61/F62)</f>
        <v>21.76</v>
      </c>
      <c r="G64" s="582"/>
      <c r="H64" s="582"/>
      <c r="I64" s="582"/>
      <c r="J64" s="582"/>
      <c r="K64" s="582"/>
    </row>
    <row r="65" spans="2:11" s="577" customFormat="1">
      <c r="B65" s="1085" t="s">
        <v>1211</v>
      </c>
      <c r="C65" s="1085"/>
      <c r="D65" s="1085"/>
      <c r="E65" s="1171"/>
      <c r="F65" s="598">
        <f>F60+F64</f>
        <v>570.05999999999995</v>
      </c>
      <c r="G65" s="582"/>
      <c r="H65" s="582"/>
      <c r="I65" s="582"/>
      <c r="J65" s="582"/>
      <c r="K65" s="582"/>
    </row>
    <row r="66" spans="2:11" s="577" customFormat="1">
      <c r="B66" s="1085" t="s">
        <v>1212</v>
      </c>
      <c r="C66" s="1085"/>
      <c r="D66" s="1085"/>
      <c r="E66" s="1171">
        <v>0</v>
      </c>
      <c r="F66" s="598">
        <f>F65*(E66/100)</f>
        <v>0</v>
      </c>
      <c r="G66" s="582"/>
      <c r="H66" s="582"/>
      <c r="I66" s="582"/>
      <c r="J66" s="582"/>
      <c r="K66" s="582"/>
    </row>
    <row r="67" spans="2:11" s="577" customFormat="1">
      <c r="B67" s="1086" t="s">
        <v>1213</v>
      </c>
      <c r="C67" s="1086"/>
      <c r="D67" s="1086"/>
      <c r="E67" s="1171"/>
      <c r="F67" s="600">
        <f>F65+F66</f>
        <v>570.05999999999995</v>
      </c>
      <c r="G67" s="582"/>
      <c r="H67" s="582"/>
      <c r="I67" s="582"/>
      <c r="J67" s="582"/>
      <c r="K67" s="582"/>
    </row>
    <row r="68" spans="2:11" s="577" customFormat="1"/>
    <row r="69" spans="2:11" s="577" customFormat="1"/>
    <row r="70" spans="2:11" s="577" customFormat="1"/>
    <row r="71" spans="2:11" s="577" customFormat="1"/>
    <row r="72" spans="2:11" s="577" customFormat="1">
      <c r="B72" s="612" t="s">
        <v>1217</v>
      </c>
      <c r="C72" s="582"/>
      <c r="D72" s="582"/>
      <c r="E72" s="582"/>
      <c r="F72" s="582"/>
      <c r="G72" s="582"/>
      <c r="I72" s="578" t="s">
        <v>1173</v>
      </c>
    </row>
    <row r="73" spans="2:11" s="577" customFormat="1">
      <c r="B73" s="582" t="s">
        <v>1174</v>
      </c>
      <c r="C73" s="582"/>
      <c r="D73" s="582"/>
      <c r="E73" s="582"/>
      <c r="F73" s="582"/>
      <c r="G73" s="582"/>
      <c r="H73" s="582"/>
      <c r="I73" s="582"/>
      <c r="J73" s="582"/>
      <c r="K73" s="582"/>
    </row>
    <row r="74" spans="2:11" s="577" customFormat="1">
      <c r="B74" s="582"/>
      <c r="C74" s="582"/>
      <c r="D74" s="582"/>
      <c r="E74" s="582"/>
      <c r="F74" s="582"/>
      <c r="G74" s="582"/>
      <c r="H74" s="582"/>
      <c r="I74" s="582"/>
      <c r="J74" s="582"/>
      <c r="K74" s="582"/>
    </row>
    <row r="75" spans="2:11" s="577" customFormat="1">
      <c r="B75" s="583" t="s">
        <v>1175</v>
      </c>
      <c r="C75" s="583"/>
      <c r="D75" s="584"/>
      <c r="E75" s="584"/>
      <c r="F75" s="584"/>
      <c r="G75" s="582"/>
      <c r="H75" s="582"/>
      <c r="I75" s="582"/>
      <c r="K75" s="582"/>
    </row>
    <row r="76" spans="2:11" s="577" customFormat="1">
      <c r="B76" s="584"/>
      <c r="C76" s="584"/>
      <c r="D76" s="584"/>
      <c r="E76" s="584"/>
      <c r="F76" s="584"/>
      <c r="G76" s="582"/>
      <c r="H76" s="582"/>
      <c r="I76" s="582"/>
      <c r="J76" s="582"/>
      <c r="K76" s="582"/>
    </row>
    <row r="77" spans="2:11" s="577" customFormat="1">
      <c r="B77" s="585" t="s">
        <v>1176</v>
      </c>
      <c r="C77" s="1075" t="s">
        <v>1177</v>
      </c>
      <c r="D77" s="1075"/>
      <c r="E77" s="585" t="s">
        <v>1178</v>
      </c>
      <c r="F77" s="585" t="s">
        <v>1179</v>
      </c>
      <c r="G77" s="582"/>
      <c r="H77" s="582"/>
      <c r="I77" s="582"/>
      <c r="J77" s="582"/>
      <c r="K77" s="582"/>
    </row>
    <row r="78" spans="2:11" s="577" customFormat="1" ht="28.5">
      <c r="B78" s="613" t="s">
        <v>1180</v>
      </c>
      <c r="C78" s="1076" t="s">
        <v>1181</v>
      </c>
      <c r="D78" s="1076"/>
      <c r="E78" s="588" t="s">
        <v>691</v>
      </c>
      <c r="F78" s="588">
        <v>2606.12</v>
      </c>
      <c r="G78" s="582"/>
      <c r="H78" s="582"/>
      <c r="I78" s="582"/>
      <c r="J78" s="582"/>
      <c r="K78" s="582"/>
    </row>
    <row r="79" spans="2:11" s="577" customFormat="1">
      <c r="B79" s="601" t="s">
        <v>1218</v>
      </c>
      <c r="C79" s="1077" t="s">
        <v>1219</v>
      </c>
      <c r="D79" s="1077"/>
      <c r="E79" s="588" t="s">
        <v>691</v>
      </c>
      <c r="F79" s="588">
        <v>2740.66</v>
      </c>
      <c r="G79" s="582"/>
      <c r="H79" s="582"/>
      <c r="I79" s="582"/>
      <c r="J79" s="582"/>
      <c r="K79" s="582"/>
    </row>
    <row r="80" spans="2:11" s="577" customFormat="1">
      <c r="B80" s="601" t="s">
        <v>1184</v>
      </c>
      <c r="C80" s="1078" t="s">
        <v>1185</v>
      </c>
      <c r="D80" s="1078"/>
      <c r="E80" s="588" t="s">
        <v>691</v>
      </c>
      <c r="F80" s="588">
        <v>2861.15</v>
      </c>
      <c r="G80" s="582"/>
      <c r="H80" s="582"/>
      <c r="I80" s="582"/>
      <c r="J80" s="582"/>
      <c r="K80" s="582"/>
    </row>
    <row r="81" spans="2:11" s="577" customFormat="1" ht="15.75">
      <c r="B81" s="1079" t="s">
        <v>1186</v>
      </c>
      <c r="C81" s="1079"/>
      <c r="D81" s="1079"/>
      <c r="E81" s="1079"/>
      <c r="F81" s="590">
        <f>F78</f>
        <v>2606.12</v>
      </c>
      <c r="G81" s="582"/>
      <c r="H81" s="582"/>
      <c r="I81" s="582"/>
      <c r="J81" s="582"/>
      <c r="K81" s="582"/>
    </row>
    <row r="82" spans="2:11" s="577" customFormat="1">
      <c r="B82" s="582"/>
      <c r="C82" s="582"/>
      <c r="D82" s="582"/>
      <c r="E82" s="582"/>
      <c r="F82" s="582"/>
      <c r="G82" s="582"/>
      <c r="H82" s="582"/>
      <c r="I82" s="582"/>
      <c r="J82" s="582"/>
      <c r="K82" s="582"/>
    </row>
    <row r="83" spans="2:11" s="577" customFormat="1" ht="30">
      <c r="B83" s="585" t="s">
        <v>1187</v>
      </c>
      <c r="C83" s="585" t="s">
        <v>1178</v>
      </c>
      <c r="D83" s="585" t="s">
        <v>1188</v>
      </c>
      <c r="E83" s="585" t="s">
        <v>1189</v>
      </c>
      <c r="F83" s="585" t="s">
        <v>1190</v>
      </c>
      <c r="G83" s="585" t="s">
        <v>1191</v>
      </c>
      <c r="H83" s="585" t="s">
        <v>1192</v>
      </c>
      <c r="I83" s="585" t="s">
        <v>1179</v>
      </c>
      <c r="J83" s="585" t="s">
        <v>1193</v>
      </c>
      <c r="K83" s="585" t="s">
        <v>1220</v>
      </c>
    </row>
    <row r="84" spans="2:11" s="577" customFormat="1">
      <c r="B84" s="591" t="s">
        <v>1221</v>
      </c>
      <c r="C84" s="591" t="s">
        <v>1195</v>
      </c>
      <c r="D84" s="592">
        <v>6698</v>
      </c>
      <c r="E84" s="591">
        <v>1</v>
      </c>
      <c r="F84" s="593"/>
      <c r="G84" s="593"/>
      <c r="H84" s="593"/>
      <c r="I84" s="593">
        <v>21.76</v>
      </c>
      <c r="J84" s="593"/>
      <c r="K84" s="593">
        <f>E84*I84</f>
        <v>21.76</v>
      </c>
    </row>
    <row r="85" spans="2:11" s="577" customFormat="1">
      <c r="B85" s="1087" t="s">
        <v>1196</v>
      </c>
      <c r="C85" s="1087"/>
      <c r="D85" s="1087"/>
      <c r="E85" s="1087"/>
      <c r="F85" s="1087"/>
      <c r="G85" s="1087"/>
      <c r="H85" s="1087"/>
      <c r="I85" s="1087"/>
      <c r="J85" s="1087"/>
      <c r="K85" s="600">
        <f>SUM(K84:K84)</f>
        <v>21.76</v>
      </c>
    </row>
    <row r="86" spans="2:11" s="577" customFormat="1">
      <c r="B86" s="582"/>
      <c r="C86" s="582"/>
      <c r="D86" s="582"/>
      <c r="E86" s="582"/>
      <c r="F86" s="582"/>
      <c r="G86" s="582"/>
      <c r="H86" s="582"/>
      <c r="I86" s="582"/>
      <c r="J86" s="582"/>
      <c r="K86" s="582"/>
    </row>
    <row r="87" spans="2:11" s="577" customFormat="1" ht="30">
      <c r="B87" s="585" t="s">
        <v>1197</v>
      </c>
      <c r="C87" s="585" t="s">
        <v>1178</v>
      </c>
      <c r="D87" s="585" t="s">
        <v>1188</v>
      </c>
      <c r="E87" s="585" t="s">
        <v>1189</v>
      </c>
      <c r="F87" s="585" t="s">
        <v>1190</v>
      </c>
      <c r="G87" s="585" t="s">
        <v>1191</v>
      </c>
      <c r="H87" s="585" t="s">
        <v>1192</v>
      </c>
      <c r="I87" s="585" t="s">
        <v>1179</v>
      </c>
      <c r="J87" s="585" t="s">
        <v>1193</v>
      </c>
      <c r="K87" s="585" t="s">
        <v>1220</v>
      </c>
    </row>
    <row r="88" spans="2:11" s="577" customFormat="1" ht="28.5">
      <c r="B88" s="594" t="s">
        <v>1222</v>
      </c>
      <c r="C88" s="591" t="s">
        <v>1199</v>
      </c>
      <c r="D88" s="595" t="s">
        <v>1200</v>
      </c>
      <c r="E88" s="591">
        <v>1</v>
      </c>
      <c r="F88" s="593"/>
      <c r="G88" s="593"/>
      <c r="H88" s="593"/>
      <c r="I88" s="593">
        <f>F81</f>
        <v>2606.12</v>
      </c>
      <c r="J88" s="593" t="s">
        <v>1223</v>
      </c>
      <c r="K88" s="593">
        <f>E88*I88</f>
        <v>2606.12</v>
      </c>
    </row>
    <row r="89" spans="2:11" s="577" customFormat="1">
      <c r="B89" s="1087" t="s">
        <v>1196</v>
      </c>
      <c r="C89" s="1087"/>
      <c r="D89" s="1087"/>
      <c r="E89" s="1087"/>
      <c r="F89" s="1087"/>
      <c r="G89" s="1087"/>
      <c r="H89" s="1087"/>
      <c r="I89" s="1087"/>
      <c r="J89" s="1087"/>
      <c r="K89" s="600">
        <f>SUM(K88)</f>
        <v>2606.12</v>
      </c>
    </row>
    <row r="90" spans="2:11" s="577" customFormat="1">
      <c r="B90" s="582"/>
      <c r="C90" s="582"/>
      <c r="D90" s="582"/>
      <c r="E90" s="582"/>
      <c r="F90" s="582"/>
      <c r="G90" s="582"/>
      <c r="H90" s="582"/>
      <c r="I90" s="582"/>
      <c r="J90" s="582"/>
      <c r="K90" s="582"/>
    </row>
    <row r="91" spans="2:11" s="577" customFormat="1">
      <c r="B91" s="1083" t="s">
        <v>1201</v>
      </c>
      <c r="C91" s="1083"/>
      <c r="D91" s="1083"/>
      <c r="E91" s="1083"/>
      <c r="F91" s="1083"/>
      <c r="G91" s="582"/>
      <c r="H91" s="582"/>
      <c r="I91" s="582"/>
      <c r="J91" s="582"/>
      <c r="K91" s="582"/>
    </row>
    <row r="92" spans="2:11" s="577" customFormat="1">
      <c r="B92" s="1084" t="s">
        <v>1202</v>
      </c>
      <c r="C92" s="1084"/>
      <c r="D92" s="1084"/>
      <c r="E92" s="596" t="s">
        <v>1203</v>
      </c>
      <c r="F92" s="596" t="s">
        <v>1204</v>
      </c>
      <c r="G92" s="582"/>
      <c r="H92" s="582"/>
      <c r="I92" s="582"/>
      <c r="J92" s="582"/>
      <c r="K92" s="582"/>
    </row>
    <row r="93" spans="2:11" s="577" customFormat="1">
      <c r="B93" s="1085" t="s">
        <v>1205</v>
      </c>
      <c r="C93" s="1085"/>
      <c r="D93" s="1085"/>
      <c r="E93" s="1171">
        <v>128.33000000000001</v>
      </c>
      <c r="F93" s="598">
        <f>K85</f>
        <v>21.76</v>
      </c>
      <c r="G93" s="582"/>
      <c r="H93" s="582"/>
      <c r="I93" s="582"/>
      <c r="J93" s="582"/>
      <c r="K93" s="582"/>
    </row>
    <row r="94" spans="2:11" s="577" customFormat="1">
      <c r="B94" s="1085" t="s">
        <v>1206</v>
      </c>
      <c r="C94" s="1085"/>
      <c r="D94" s="1085"/>
      <c r="E94" s="1171"/>
      <c r="F94" s="598">
        <f>K89</f>
        <v>2606.12</v>
      </c>
      <c r="G94" s="582"/>
      <c r="H94" s="582"/>
      <c r="I94" s="582"/>
      <c r="J94" s="582"/>
      <c r="K94" s="582"/>
    </row>
    <row r="95" spans="2:11" s="577" customFormat="1">
      <c r="B95" s="1085" t="s">
        <v>1207</v>
      </c>
      <c r="C95" s="1085"/>
      <c r="D95" s="1085"/>
      <c r="E95" s="1171"/>
      <c r="F95" s="598">
        <v>0</v>
      </c>
      <c r="G95" s="582"/>
      <c r="H95" s="582"/>
      <c r="I95" s="582"/>
      <c r="J95" s="582"/>
      <c r="K95" s="582"/>
    </row>
    <row r="96" spans="2:11" s="577" customFormat="1">
      <c r="B96" s="1085" t="s">
        <v>1208</v>
      </c>
      <c r="C96" s="1085"/>
      <c r="D96" s="1085"/>
      <c r="E96" s="1171"/>
      <c r="F96" s="598">
        <v>1</v>
      </c>
      <c r="G96" s="582"/>
      <c r="H96" s="582"/>
      <c r="I96" s="582"/>
      <c r="J96" s="582"/>
      <c r="K96" s="582"/>
    </row>
    <row r="97" spans="2:11" s="577" customFormat="1">
      <c r="B97" s="1085" t="s">
        <v>1209</v>
      </c>
      <c r="C97" s="1085"/>
      <c r="D97" s="1085"/>
      <c r="E97" s="1171"/>
      <c r="F97" s="598">
        <f>F93+F95</f>
        <v>21.76</v>
      </c>
      <c r="G97" s="582"/>
      <c r="H97" s="582"/>
      <c r="I97" s="582"/>
      <c r="J97" s="582"/>
      <c r="K97" s="582"/>
    </row>
    <row r="98" spans="2:11" s="577" customFormat="1">
      <c r="B98" s="1085" t="s">
        <v>1210</v>
      </c>
      <c r="C98" s="1085"/>
      <c r="D98" s="1085"/>
      <c r="E98" s="1171"/>
      <c r="F98" s="598">
        <f>(F93/F96)+(F95/F96)</f>
        <v>21.76</v>
      </c>
      <c r="G98" s="582"/>
      <c r="H98" s="582"/>
      <c r="I98" s="582"/>
      <c r="J98" s="582"/>
      <c r="K98" s="582"/>
    </row>
    <row r="99" spans="2:11" s="577" customFormat="1">
      <c r="B99" s="1085" t="s">
        <v>1211</v>
      </c>
      <c r="C99" s="1085"/>
      <c r="D99" s="1085"/>
      <c r="E99" s="1171"/>
      <c r="F99" s="598">
        <f>F94+F98</f>
        <v>2627.88</v>
      </c>
      <c r="G99" s="582"/>
      <c r="H99" s="582"/>
      <c r="I99" s="582"/>
      <c r="J99" s="582"/>
      <c r="K99" s="582"/>
    </row>
    <row r="100" spans="2:11" s="577" customFormat="1">
      <c r="B100" s="1085" t="s">
        <v>1212</v>
      </c>
      <c r="C100" s="1085"/>
      <c r="D100" s="1085"/>
      <c r="E100" s="1171">
        <v>0</v>
      </c>
      <c r="F100" s="598">
        <f>F99*(E100/100)</f>
        <v>0</v>
      </c>
      <c r="G100" s="582"/>
      <c r="H100" s="582"/>
      <c r="I100" s="582"/>
      <c r="J100" s="582"/>
      <c r="K100" s="582"/>
    </row>
    <row r="101" spans="2:11" s="577" customFormat="1">
      <c r="B101" s="1086" t="s">
        <v>1213</v>
      </c>
      <c r="C101" s="1086"/>
      <c r="D101" s="1086"/>
      <c r="E101" s="1171"/>
      <c r="F101" s="600">
        <f>F99+F100</f>
        <v>2627.88</v>
      </c>
      <c r="G101" s="582"/>
      <c r="H101" s="582"/>
      <c r="I101" s="582"/>
      <c r="J101" s="582"/>
      <c r="K101" s="582"/>
    </row>
    <row r="102" spans="2:11" s="577" customFormat="1"/>
    <row r="103" spans="2:11" s="577" customFormat="1"/>
    <row r="104" spans="2:11" s="577" customFormat="1"/>
    <row r="105" spans="2:11" s="577" customFormat="1"/>
    <row r="106" spans="2:11" s="577" customFormat="1">
      <c r="B106" s="578" t="s">
        <v>1224</v>
      </c>
      <c r="C106" s="582"/>
      <c r="D106" s="582"/>
      <c r="E106" s="582"/>
      <c r="F106" s="582"/>
      <c r="G106" s="582"/>
      <c r="I106" s="578" t="s">
        <v>1225</v>
      </c>
    </row>
    <row r="107" spans="2:11" s="577" customFormat="1">
      <c r="B107" s="582" t="s">
        <v>1226</v>
      </c>
      <c r="C107" s="582"/>
      <c r="D107" s="582"/>
      <c r="E107" s="582"/>
      <c r="F107" s="582"/>
      <c r="G107" s="582"/>
      <c r="H107" s="582"/>
      <c r="I107" s="582"/>
      <c r="J107" s="582"/>
    </row>
    <row r="108" spans="2:11" s="577" customFormat="1">
      <c r="B108" s="582"/>
      <c r="C108" s="582"/>
      <c r="D108" s="582"/>
      <c r="E108" s="582"/>
      <c r="F108" s="582"/>
      <c r="G108" s="582"/>
      <c r="H108" s="582"/>
      <c r="I108" s="582"/>
    </row>
    <row r="109" spans="2:11" s="577" customFormat="1">
      <c r="B109" s="583" t="s">
        <v>1175</v>
      </c>
      <c r="C109" s="583"/>
      <c r="D109" s="584"/>
      <c r="E109" s="584"/>
      <c r="F109" s="584"/>
      <c r="G109" s="582"/>
      <c r="H109" s="582"/>
      <c r="I109" s="582"/>
      <c r="J109" s="582"/>
    </row>
    <row r="110" spans="2:11" s="577" customFormat="1">
      <c r="B110" s="584"/>
      <c r="C110" s="584"/>
      <c r="D110" s="584"/>
      <c r="E110" s="584"/>
      <c r="F110" s="584"/>
      <c r="G110" s="582"/>
      <c r="H110" s="582"/>
      <c r="I110" s="582"/>
      <c r="J110" s="582"/>
    </row>
    <row r="111" spans="2:11" s="577" customFormat="1">
      <c r="B111" s="585" t="s">
        <v>1176</v>
      </c>
      <c r="C111" s="1075" t="s">
        <v>1177</v>
      </c>
      <c r="D111" s="1075"/>
      <c r="E111" s="585" t="s">
        <v>1178</v>
      </c>
      <c r="F111" s="585" t="s">
        <v>1179</v>
      </c>
      <c r="G111" s="582"/>
      <c r="H111" s="582"/>
      <c r="I111" s="582"/>
      <c r="J111" s="582"/>
    </row>
    <row r="112" spans="2:11" s="577" customFormat="1" ht="28.5">
      <c r="B112" s="587" t="s">
        <v>1180</v>
      </c>
      <c r="C112" s="1076" t="s">
        <v>1181</v>
      </c>
      <c r="D112" s="1076"/>
      <c r="E112" s="588" t="s">
        <v>691</v>
      </c>
      <c r="F112" s="588">
        <v>2.75</v>
      </c>
      <c r="G112" s="582"/>
      <c r="H112" s="582"/>
      <c r="I112" s="582"/>
      <c r="J112" s="582"/>
    </row>
    <row r="113" spans="2:10" s="577" customFormat="1" ht="28.5">
      <c r="B113" s="587" t="s">
        <v>1182</v>
      </c>
      <c r="C113" s="1077" t="s">
        <v>1183</v>
      </c>
      <c r="D113" s="1077"/>
      <c r="E113" s="588" t="s">
        <v>691</v>
      </c>
      <c r="F113" s="588">
        <v>2.73</v>
      </c>
      <c r="G113" s="582"/>
      <c r="H113" s="582"/>
      <c r="I113" s="582"/>
      <c r="J113" s="582"/>
    </row>
    <row r="114" spans="2:10" s="577" customFormat="1">
      <c r="B114" s="601" t="s">
        <v>1227</v>
      </c>
      <c r="C114" s="1078" t="s">
        <v>1228</v>
      </c>
      <c r="D114" s="1078"/>
      <c r="E114" s="588" t="s">
        <v>691</v>
      </c>
      <c r="F114" s="588">
        <v>3.2</v>
      </c>
      <c r="G114" s="582"/>
      <c r="H114" s="582"/>
      <c r="I114" s="582"/>
      <c r="J114" s="582"/>
    </row>
    <row r="115" spans="2:10" s="577" customFormat="1" ht="15.75">
      <c r="B115" s="1079" t="s">
        <v>1186</v>
      </c>
      <c r="C115" s="1079"/>
      <c r="D115" s="1079"/>
      <c r="E115" s="1079"/>
      <c r="F115" s="590">
        <f>F113</f>
        <v>2.73</v>
      </c>
      <c r="G115" s="582"/>
      <c r="H115" s="582"/>
      <c r="I115" s="582"/>
      <c r="J115" s="582"/>
    </row>
    <row r="116" spans="2:10" s="577" customFormat="1">
      <c r="B116" s="582"/>
      <c r="C116" s="582"/>
      <c r="D116" s="582"/>
      <c r="E116" s="582"/>
      <c r="F116" s="582"/>
      <c r="G116" s="582"/>
      <c r="H116" s="582"/>
      <c r="I116" s="582"/>
      <c r="J116" s="582"/>
    </row>
    <row r="117" spans="2:10" s="577" customFormat="1">
      <c r="B117" s="585" t="s">
        <v>1187</v>
      </c>
      <c r="C117" s="585" t="s">
        <v>1178</v>
      </c>
      <c r="D117" s="585" t="s">
        <v>1188</v>
      </c>
      <c r="E117" s="585" t="s">
        <v>1189</v>
      </c>
      <c r="F117" s="585" t="s">
        <v>1190</v>
      </c>
      <c r="G117" s="585" t="s">
        <v>1191</v>
      </c>
      <c r="H117" s="585" t="s">
        <v>1192</v>
      </c>
      <c r="I117" s="585" t="s">
        <v>1179</v>
      </c>
      <c r="J117" s="585" t="s">
        <v>1193</v>
      </c>
    </row>
    <row r="118" spans="2:10" s="577" customFormat="1">
      <c r="B118" s="614" t="s">
        <v>1229</v>
      </c>
      <c r="C118" s="591" t="s">
        <v>1195</v>
      </c>
      <c r="D118" s="592">
        <v>10101</v>
      </c>
      <c r="E118" s="615">
        <v>0.02</v>
      </c>
      <c r="F118" s="616"/>
      <c r="G118" s="616"/>
      <c r="H118" s="616"/>
      <c r="I118" s="593">
        <v>15.08</v>
      </c>
      <c r="J118" s="593">
        <f>E118*I118</f>
        <v>0.30160000000000003</v>
      </c>
    </row>
    <row r="119" spans="2:10" s="577" customFormat="1">
      <c r="B119" s="617" t="s">
        <v>1230</v>
      </c>
      <c r="C119" s="591" t="s">
        <v>1195</v>
      </c>
      <c r="D119" s="592">
        <v>10115</v>
      </c>
      <c r="E119" s="615">
        <v>0.02</v>
      </c>
      <c r="F119" s="616"/>
      <c r="G119" s="616"/>
      <c r="H119" s="616"/>
      <c r="I119" s="593">
        <v>17.850000000000001</v>
      </c>
      <c r="J119" s="593">
        <f>E119*I119</f>
        <v>0.35700000000000004</v>
      </c>
    </row>
    <row r="120" spans="2:10" s="577" customFormat="1">
      <c r="B120" s="1080" t="s">
        <v>1196</v>
      </c>
      <c r="C120" s="1081"/>
      <c r="D120" s="1081"/>
      <c r="E120" s="1081"/>
      <c r="F120" s="1081"/>
      <c r="G120" s="1081"/>
      <c r="H120" s="1081"/>
      <c r="I120" s="1082"/>
      <c r="J120" s="599">
        <f>SUM(J118:J119)</f>
        <v>0.65860000000000007</v>
      </c>
    </row>
    <row r="121" spans="2:10" s="577" customFormat="1">
      <c r="B121" s="582"/>
      <c r="C121" s="582"/>
      <c r="D121" s="582"/>
      <c r="E121" s="582"/>
      <c r="F121" s="582"/>
      <c r="G121" s="582"/>
      <c r="H121" s="582"/>
      <c r="I121" s="582"/>
      <c r="J121" s="582"/>
    </row>
    <row r="122" spans="2:10" s="577" customFormat="1">
      <c r="B122" s="585" t="s">
        <v>1197</v>
      </c>
      <c r="C122" s="585" t="s">
        <v>1178</v>
      </c>
      <c r="D122" s="585" t="s">
        <v>1188</v>
      </c>
      <c r="E122" s="585" t="s">
        <v>1189</v>
      </c>
      <c r="F122" s="585" t="s">
        <v>1190</v>
      </c>
      <c r="G122" s="585" t="s">
        <v>1191</v>
      </c>
      <c r="H122" s="585" t="s">
        <v>1192</v>
      </c>
      <c r="I122" s="585" t="s">
        <v>1179</v>
      </c>
      <c r="J122" s="585" t="s">
        <v>1193</v>
      </c>
    </row>
    <row r="123" spans="2:10" s="577" customFormat="1" ht="42.75">
      <c r="B123" s="594" t="s">
        <v>1231</v>
      </c>
      <c r="C123" s="591" t="s">
        <v>1199</v>
      </c>
      <c r="D123" s="595" t="s">
        <v>1200</v>
      </c>
      <c r="E123" s="591">
        <v>1</v>
      </c>
      <c r="F123" s="593"/>
      <c r="G123" s="593"/>
      <c r="H123" s="593"/>
      <c r="I123" s="593">
        <f>F115</f>
        <v>2.73</v>
      </c>
      <c r="J123" s="593">
        <f>E123*I123</f>
        <v>2.73</v>
      </c>
    </row>
    <row r="124" spans="2:10" s="577" customFormat="1">
      <c r="B124" s="1080" t="s">
        <v>1196</v>
      </c>
      <c r="C124" s="1081"/>
      <c r="D124" s="1081"/>
      <c r="E124" s="1081"/>
      <c r="F124" s="1081"/>
      <c r="G124" s="1081"/>
      <c r="H124" s="1081"/>
      <c r="I124" s="1082"/>
      <c r="J124" s="599">
        <f>J123</f>
        <v>2.73</v>
      </c>
    </row>
    <row r="125" spans="2:10" s="577" customFormat="1">
      <c r="B125" s="582"/>
      <c r="C125" s="582"/>
      <c r="D125" s="582"/>
      <c r="E125" s="582"/>
      <c r="F125" s="582"/>
      <c r="G125" s="582"/>
      <c r="H125" s="582"/>
      <c r="I125" s="582"/>
      <c r="J125" s="582"/>
    </row>
    <row r="126" spans="2:10" s="577" customFormat="1">
      <c r="B126" s="1083" t="s">
        <v>1201</v>
      </c>
      <c r="C126" s="1083"/>
      <c r="D126" s="1083"/>
      <c r="E126" s="1083"/>
      <c r="F126" s="1083"/>
      <c r="G126" s="582"/>
      <c r="H126" s="582"/>
      <c r="I126" s="582"/>
      <c r="J126" s="582"/>
    </row>
    <row r="127" spans="2:10" s="577" customFormat="1">
      <c r="B127" s="1084" t="s">
        <v>1202</v>
      </c>
      <c r="C127" s="1084"/>
      <c r="D127" s="1084"/>
      <c r="E127" s="596" t="s">
        <v>1203</v>
      </c>
      <c r="F127" s="596" t="s">
        <v>1204</v>
      </c>
      <c r="G127" s="582"/>
      <c r="H127" s="582"/>
      <c r="I127" s="582"/>
      <c r="J127" s="582"/>
    </row>
    <row r="128" spans="2:10" s="577" customFormat="1">
      <c r="B128" s="1085" t="s">
        <v>1205</v>
      </c>
      <c r="C128" s="1085"/>
      <c r="D128" s="1085"/>
      <c r="E128" s="1171">
        <v>128.33000000000001</v>
      </c>
      <c r="F128" s="598">
        <f>J120</f>
        <v>0.65860000000000007</v>
      </c>
      <c r="G128" s="582"/>
      <c r="H128" s="582"/>
      <c r="I128" s="582"/>
      <c r="J128" s="582"/>
    </row>
    <row r="129" spans="2:10" s="577" customFormat="1">
      <c r="B129" s="1085" t="s">
        <v>1206</v>
      </c>
      <c r="C129" s="1085"/>
      <c r="D129" s="1085"/>
      <c r="E129" s="1171"/>
      <c r="F129" s="598">
        <f>J124</f>
        <v>2.73</v>
      </c>
      <c r="G129" s="582"/>
      <c r="H129" s="582"/>
      <c r="I129" s="582"/>
      <c r="J129" s="582"/>
    </row>
    <row r="130" spans="2:10" s="577" customFormat="1">
      <c r="B130" s="1085" t="s">
        <v>1207</v>
      </c>
      <c r="C130" s="1085"/>
      <c r="D130" s="1085"/>
      <c r="E130" s="1171"/>
      <c r="F130" s="598">
        <v>0</v>
      </c>
      <c r="G130" s="582"/>
      <c r="H130" s="582"/>
      <c r="I130" s="582"/>
      <c r="J130" s="582"/>
    </row>
    <row r="131" spans="2:10" s="577" customFormat="1">
      <c r="B131" s="1085" t="s">
        <v>1208</v>
      </c>
      <c r="C131" s="1085"/>
      <c r="D131" s="1085"/>
      <c r="E131" s="1171"/>
      <c r="F131" s="598">
        <v>1</v>
      </c>
      <c r="G131" s="582"/>
      <c r="H131" s="582"/>
      <c r="I131" s="582"/>
      <c r="J131" s="582"/>
    </row>
    <row r="132" spans="2:10" s="577" customFormat="1">
      <c r="B132" s="1085" t="s">
        <v>1209</v>
      </c>
      <c r="C132" s="1085"/>
      <c r="D132" s="1085"/>
      <c r="E132" s="1171"/>
      <c r="F132" s="598">
        <f>F128+F130</f>
        <v>0.65860000000000007</v>
      </c>
      <c r="G132" s="582"/>
      <c r="H132" s="582"/>
      <c r="I132" s="582"/>
      <c r="J132" s="582"/>
    </row>
    <row r="133" spans="2:10" s="577" customFormat="1">
      <c r="B133" s="1085" t="s">
        <v>1210</v>
      </c>
      <c r="C133" s="1085"/>
      <c r="D133" s="1085"/>
      <c r="E133" s="1171"/>
      <c r="F133" s="598">
        <f>(F128/F131)+(F130/F131)</f>
        <v>0.65860000000000007</v>
      </c>
      <c r="G133" s="582"/>
      <c r="H133" s="582"/>
      <c r="I133" s="582"/>
      <c r="J133" s="582"/>
    </row>
    <row r="134" spans="2:10" s="577" customFormat="1">
      <c r="B134" s="1085" t="s">
        <v>1211</v>
      </c>
      <c r="C134" s="1085"/>
      <c r="D134" s="1085"/>
      <c r="E134" s="1171"/>
      <c r="F134" s="598">
        <f>F129+F133</f>
        <v>3.3886000000000003</v>
      </c>
      <c r="G134" s="582"/>
      <c r="H134" s="582"/>
      <c r="I134" s="582"/>
      <c r="J134" s="582"/>
    </row>
    <row r="135" spans="2:10" s="577" customFormat="1">
      <c r="B135" s="1085" t="s">
        <v>1212</v>
      </c>
      <c r="C135" s="1085"/>
      <c r="D135" s="1085"/>
      <c r="E135" s="1171">
        <v>0</v>
      </c>
      <c r="F135" s="598">
        <f>F134*(E135/100)</f>
        <v>0</v>
      </c>
      <c r="G135" s="582"/>
      <c r="H135" s="582"/>
      <c r="I135" s="582"/>
      <c r="J135" s="582"/>
    </row>
    <row r="136" spans="2:10" s="577" customFormat="1">
      <c r="B136" s="1086" t="s">
        <v>1213</v>
      </c>
      <c r="C136" s="1086"/>
      <c r="D136" s="1086"/>
      <c r="E136" s="1171"/>
      <c r="F136" s="600">
        <f>F134+F135</f>
        <v>3.3886000000000003</v>
      </c>
      <c r="G136" s="582"/>
      <c r="H136" s="582"/>
      <c r="I136" s="582"/>
      <c r="J136" s="582"/>
    </row>
    <row r="137" spans="2:10" s="577" customFormat="1"/>
    <row r="138" spans="2:10" s="577" customFormat="1"/>
    <row r="139" spans="2:10" s="577" customFormat="1"/>
    <row r="140" spans="2:10" s="577" customFormat="1"/>
    <row r="141" spans="2:10" s="577" customFormat="1">
      <c r="B141" s="578" t="s">
        <v>1232</v>
      </c>
      <c r="C141" s="582"/>
      <c r="D141" s="582"/>
      <c r="E141" s="582"/>
      <c r="F141" s="582"/>
      <c r="G141" s="578" t="s">
        <v>1233</v>
      </c>
      <c r="I141" s="582"/>
      <c r="J141" s="582"/>
    </row>
    <row r="142" spans="2:10" s="577" customFormat="1">
      <c r="B142" s="582" t="s">
        <v>1174</v>
      </c>
      <c r="C142" s="582"/>
      <c r="D142" s="582"/>
      <c r="E142" s="582"/>
      <c r="F142" s="582"/>
      <c r="G142" s="582"/>
      <c r="H142" s="582"/>
      <c r="I142" s="582"/>
      <c r="J142" s="582"/>
    </row>
    <row r="143" spans="2:10" s="577" customFormat="1">
      <c r="B143" s="582"/>
      <c r="C143" s="582"/>
      <c r="D143" s="582"/>
      <c r="E143" s="582"/>
      <c r="F143" s="582"/>
      <c r="G143" s="582"/>
      <c r="H143" s="582"/>
      <c r="I143" s="582"/>
      <c r="J143" s="582"/>
    </row>
    <row r="144" spans="2:10" s="577" customFormat="1">
      <c r="B144" s="583" t="s">
        <v>1175</v>
      </c>
      <c r="C144" s="583"/>
      <c r="D144" s="584"/>
      <c r="E144" s="584"/>
      <c r="F144" s="584"/>
      <c r="G144" s="582"/>
      <c r="H144" s="582"/>
      <c r="I144" s="582"/>
      <c r="J144" s="582"/>
    </row>
    <row r="145" spans="2:10" s="577" customFormat="1">
      <c r="B145" s="584"/>
      <c r="C145" s="584"/>
      <c r="D145" s="584"/>
      <c r="E145" s="584"/>
      <c r="F145" s="584"/>
      <c r="G145" s="582"/>
      <c r="H145" s="582"/>
      <c r="I145" s="582"/>
      <c r="J145" s="582"/>
    </row>
    <row r="146" spans="2:10" s="577" customFormat="1">
      <c r="B146" s="585" t="s">
        <v>1176</v>
      </c>
      <c r="C146" s="1075" t="s">
        <v>1177</v>
      </c>
      <c r="D146" s="1075"/>
      <c r="E146" s="585" t="s">
        <v>1178</v>
      </c>
      <c r="F146" s="585" t="s">
        <v>1179</v>
      </c>
      <c r="G146" s="582"/>
      <c r="H146" s="582"/>
      <c r="I146" s="582"/>
      <c r="J146" s="582"/>
    </row>
    <row r="147" spans="2:10" s="577" customFormat="1">
      <c r="B147" s="618" t="s">
        <v>1234</v>
      </c>
      <c r="C147" s="1076" t="s">
        <v>1235</v>
      </c>
      <c r="D147" s="1076"/>
      <c r="E147" s="588" t="s">
        <v>691</v>
      </c>
      <c r="F147" s="588">
        <v>200</v>
      </c>
      <c r="G147" s="582"/>
      <c r="H147" s="582"/>
      <c r="I147" s="582"/>
      <c r="J147" s="582"/>
    </row>
    <row r="148" spans="2:10" s="577" customFormat="1" ht="28.5">
      <c r="B148" s="587" t="s">
        <v>1182</v>
      </c>
      <c r="C148" s="1077" t="s">
        <v>1183</v>
      </c>
      <c r="D148" s="1077"/>
      <c r="E148" s="588" t="s">
        <v>691</v>
      </c>
      <c r="F148" s="588">
        <v>185.4</v>
      </c>
      <c r="G148" s="582"/>
      <c r="H148" s="582"/>
      <c r="I148" s="582"/>
      <c r="J148" s="582"/>
    </row>
    <row r="149" spans="2:10" s="577" customFormat="1">
      <c r="B149" s="589" t="s">
        <v>1184</v>
      </c>
      <c r="C149" s="1078" t="s">
        <v>1185</v>
      </c>
      <c r="D149" s="1078"/>
      <c r="E149" s="588" t="s">
        <v>691</v>
      </c>
      <c r="F149" s="588">
        <v>180.67</v>
      </c>
      <c r="G149" s="582"/>
      <c r="H149" s="582"/>
      <c r="I149" s="582"/>
      <c r="J149" s="582"/>
    </row>
    <row r="150" spans="2:10" s="577" customFormat="1" ht="15.75">
      <c r="B150" s="1079" t="s">
        <v>1186</v>
      </c>
      <c r="C150" s="1079"/>
      <c r="D150" s="1079"/>
      <c r="E150" s="1079"/>
      <c r="F150" s="590">
        <f>F149</f>
        <v>180.67</v>
      </c>
      <c r="G150" s="582"/>
      <c r="H150" s="582"/>
      <c r="I150" s="582"/>
      <c r="J150" s="582"/>
    </row>
    <row r="151" spans="2:10" s="577" customFormat="1">
      <c r="B151" s="582"/>
      <c r="C151" s="582"/>
      <c r="D151" s="582"/>
      <c r="E151" s="582"/>
      <c r="F151" s="582"/>
      <c r="G151" s="582"/>
      <c r="H151" s="582"/>
      <c r="I151" s="582"/>
      <c r="J151" s="582"/>
    </row>
    <row r="152" spans="2:10" s="577" customFormat="1">
      <c r="B152" s="585" t="s">
        <v>1187</v>
      </c>
      <c r="C152" s="585" t="s">
        <v>1178</v>
      </c>
      <c r="D152" s="585" t="s">
        <v>1188</v>
      </c>
      <c r="E152" s="585" t="s">
        <v>1189</v>
      </c>
      <c r="F152" s="585" t="s">
        <v>1190</v>
      </c>
      <c r="G152" s="585" t="s">
        <v>1191</v>
      </c>
      <c r="H152" s="585" t="s">
        <v>1192</v>
      </c>
      <c r="I152" s="585" t="s">
        <v>1179</v>
      </c>
      <c r="J152" s="585" t="s">
        <v>1193</v>
      </c>
    </row>
    <row r="153" spans="2:10" s="577" customFormat="1">
      <c r="B153" s="619" t="s">
        <v>1236</v>
      </c>
      <c r="C153" s="591" t="s">
        <v>1195</v>
      </c>
      <c r="D153" s="592">
        <v>6698</v>
      </c>
      <c r="E153" s="591">
        <v>1</v>
      </c>
      <c r="F153" s="593"/>
      <c r="G153" s="593"/>
      <c r="H153" s="593"/>
      <c r="I153" s="622">
        <v>21.76</v>
      </c>
      <c r="J153" s="593">
        <f>E153*I153</f>
        <v>21.76</v>
      </c>
    </row>
    <row r="154" spans="2:10" s="577" customFormat="1">
      <c r="B154" s="1080" t="s">
        <v>1196</v>
      </c>
      <c r="C154" s="1081"/>
      <c r="D154" s="1081"/>
      <c r="E154" s="1081"/>
      <c r="F154" s="1081"/>
      <c r="G154" s="1081"/>
      <c r="H154" s="1081"/>
      <c r="I154" s="1082"/>
      <c r="J154" s="599">
        <f>SUM(J153:J153)</f>
        <v>21.76</v>
      </c>
    </row>
    <row r="155" spans="2:10" s="577" customFormat="1">
      <c r="B155" s="582"/>
      <c r="C155" s="582"/>
      <c r="D155" s="582"/>
      <c r="E155" s="582"/>
      <c r="F155" s="582"/>
      <c r="G155" s="582"/>
      <c r="H155" s="582"/>
      <c r="I155" s="582"/>
      <c r="J155" s="582"/>
    </row>
    <row r="156" spans="2:10" s="577" customFormat="1">
      <c r="B156" s="585" t="s">
        <v>1197</v>
      </c>
      <c r="C156" s="585" t="s">
        <v>1178</v>
      </c>
      <c r="D156" s="585" t="s">
        <v>1188</v>
      </c>
      <c r="E156" s="585" t="s">
        <v>1189</v>
      </c>
      <c r="F156" s="585" t="s">
        <v>1190</v>
      </c>
      <c r="G156" s="585" t="s">
        <v>1191</v>
      </c>
      <c r="H156" s="585" t="s">
        <v>1192</v>
      </c>
      <c r="I156" s="585" t="s">
        <v>1179</v>
      </c>
      <c r="J156" s="585" t="s">
        <v>1193</v>
      </c>
    </row>
    <row r="157" spans="2:10" s="577" customFormat="1">
      <c r="B157" s="620" t="s">
        <v>1237</v>
      </c>
      <c r="C157" s="591" t="s">
        <v>1199</v>
      </c>
      <c r="D157" s="595" t="s">
        <v>1200</v>
      </c>
      <c r="E157" s="591">
        <v>1</v>
      </c>
      <c r="F157" s="593"/>
      <c r="G157" s="593"/>
      <c r="H157" s="593"/>
      <c r="I157" s="593">
        <f>F150</f>
        <v>180.67</v>
      </c>
      <c r="J157" s="593">
        <f>E157*I157</f>
        <v>180.67</v>
      </c>
    </row>
    <row r="158" spans="2:10" s="577" customFormat="1">
      <c r="B158" s="1080" t="s">
        <v>1196</v>
      </c>
      <c r="C158" s="1081"/>
      <c r="D158" s="1081"/>
      <c r="E158" s="1081"/>
      <c r="F158" s="1081"/>
      <c r="G158" s="1081"/>
      <c r="H158" s="1081"/>
      <c r="I158" s="1082"/>
      <c r="J158" s="599">
        <f>J157</f>
        <v>180.67</v>
      </c>
    </row>
    <row r="159" spans="2:10" s="577" customFormat="1">
      <c r="B159" s="582"/>
      <c r="C159" s="582"/>
      <c r="D159" s="582"/>
      <c r="E159" s="582"/>
      <c r="F159" s="582"/>
      <c r="G159" s="582"/>
      <c r="H159" s="582"/>
      <c r="I159" s="582"/>
      <c r="J159" s="582"/>
    </row>
    <row r="160" spans="2:10" s="577" customFormat="1">
      <c r="B160" s="1083" t="s">
        <v>1201</v>
      </c>
      <c r="C160" s="1083"/>
      <c r="D160" s="1083"/>
      <c r="E160" s="1083"/>
      <c r="F160" s="1083"/>
      <c r="G160" s="582"/>
      <c r="H160" s="582"/>
      <c r="I160" s="582"/>
      <c r="J160" s="582"/>
    </row>
    <row r="161" spans="2:10" s="577" customFormat="1">
      <c r="B161" s="1084" t="s">
        <v>1202</v>
      </c>
      <c r="C161" s="1084"/>
      <c r="D161" s="1084"/>
      <c r="E161" s="596" t="s">
        <v>1203</v>
      </c>
      <c r="F161" s="596" t="s">
        <v>1204</v>
      </c>
      <c r="G161" s="582"/>
      <c r="H161" s="582"/>
      <c r="I161" s="582"/>
      <c r="J161" s="582"/>
    </row>
    <row r="162" spans="2:10" s="577" customFormat="1">
      <c r="B162" s="1085" t="s">
        <v>1205</v>
      </c>
      <c r="C162" s="1085"/>
      <c r="D162" s="1085"/>
      <c r="E162" s="1171">
        <v>128.33000000000001</v>
      </c>
      <c r="F162" s="598">
        <f>J154</f>
        <v>21.76</v>
      </c>
      <c r="G162" s="582"/>
      <c r="H162" s="582"/>
      <c r="I162" s="582"/>
      <c r="J162" s="582"/>
    </row>
    <row r="163" spans="2:10" s="577" customFormat="1">
      <c r="B163" s="1085" t="s">
        <v>1206</v>
      </c>
      <c r="C163" s="1085"/>
      <c r="D163" s="1085"/>
      <c r="E163" s="1171"/>
      <c r="F163" s="598">
        <f>J158</f>
        <v>180.67</v>
      </c>
      <c r="G163" s="582"/>
      <c r="H163" s="582"/>
      <c r="I163" s="582"/>
      <c r="J163" s="582"/>
    </row>
    <row r="164" spans="2:10" s="577" customFormat="1">
      <c r="B164" s="1085" t="s">
        <v>1207</v>
      </c>
      <c r="C164" s="1085"/>
      <c r="D164" s="1085"/>
      <c r="E164" s="1171"/>
      <c r="F164" s="598">
        <v>0</v>
      </c>
      <c r="G164" s="582"/>
      <c r="H164" s="582"/>
      <c r="I164" s="582"/>
      <c r="J164" s="582"/>
    </row>
    <row r="165" spans="2:10" s="577" customFormat="1">
      <c r="B165" s="1085" t="s">
        <v>1208</v>
      </c>
      <c r="C165" s="1085"/>
      <c r="D165" s="1085"/>
      <c r="E165" s="1171"/>
      <c r="F165" s="598">
        <v>1</v>
      </c>
      <c r="G165" s="582"/>
      <c r="H165" s="582"/>
      <c r="I165" s="582"/>
      <c r="J165" s="582"/>
    </row>
    <row r="166" spans="2:10" s="577" customFormat="1">
      <c r="B166" s="1085" t="s">
        <v>1209</v>
      </c>
      <c r="C166" s="1085"/>
      <c r="D166" s="1085"/>
      <c r="E166" s="1171"/>
      <c r="F166" s="598">
        <f>F162+F164</f>
        <v>21.76</v>
      </c>
      <c r="G166" s="582"/>
      <c r="H166" s="582"/>
      <c r="I166" s="582"/>
      <c r="J166" s="582"/>
    </row>
    <row r="167" spans="2:10" s="577" customFormat="1">
      <c r="B167" s="1085" t="s">
        <v>1210</v>
      </c>
      <c r="C167" s="1085"/>
      <c r="D167" s="1085"/>
      <c r="E167" s="1171"/>
      <c r="F167" s="598">
        <f>(F162/F165)+(F164/F165)</f>
        <v>21.76</v>
      </c>
      <c r="G167" s="582"/>
      <c r="H167" s="582"/>
      <c r="I167" s="582"/>
      <c r="J167" s="582"/>
    </row>
    <row r="168" spans="2:10" s="577" customFormat="1">
      <c r="B168" s="1085" t="s">
        <v>1211</v>
      </c>
      <c r="C168" s="1085"/>
      <c r="D168" s="1085"/>
      <c r="E168" s="1171"/>
      <c r="F168" s="598">
        <f>F163+F167</f>
        <v>202.42999999999998</v>
      </c>
      <c r="G168" s="582"/>
      <c r="H168" s="582"/>
      <c r="I168" s="582"/>
      <c r="J168" s="582"/>
    </row>
    <row r="169" spans="2:10" s="577" customFormat="1">
      <c r="B169" s="1085" t="s">
        <v>1212</v>
      </c>
      <c r="C169" s="1085"/>
      <c r="D169" s="1085"/>
      <c r="E169" s="1171">
        <v>0</v>
      </c>
      <c r="F169" s="598">
        <f>F168*(E169/100)</f>
        <v>0</v>
      </c>
      <c r="G169" s="582"/>
      <c r="H169" s="582"/>
      <c r="I169" s="582"/>
      <c r="J169" s="582"/>
    </row>
    <row r="170" spans="2:10" s="577" customFormat="1">
      <c r="B170" s="1086" t="s">
        <v>1213</v>
      </c>
      <c r="C170" s="1086"/>
      <c r="D170" s="1086"/>
      <c r="E170" s="1171"/>
      <c r="F170" s="600">
        <f>F168+F169</f>
        <v>202.42999999999998</v>
      </c>
      <c r="G170" s="582"/>
      <c r="H170" s="582"/>
      <c r="I170" s="582"/>
      <c r="J170" s="582"/>
    </row>
    <row r="171" spans="2:10" s="577" customFormat="1"/>
    <row r="172" spans="2:10" s="577" customFormat="1"/>
    <row r="173" spans="2:10" s="577" customFormat="1"/>
    <row r="174" spans="2:10" s="577" customFormat="1"/>
    <row r="175" spans="2:10" s="577" customFormat="1">
      <c r="B175" s="578" t="s">
        <v>1238</v>
      </c>
      <c r="C175" s="582"/>
      <c r="D175" s="582"/>
      <c r="E175" s="582"/>
      <c r="F175" s="578" t="s">
        <v>1233</v>
      </c>
      <c r="G175" s="582"/>
      <c r="I175" s="582"/>
      <c r="J175" s="582"/>
    </row>
    <row r="176" spans="2:10" s="577" customFormat="1">
      <c r="B176" s="582" t="s">
        <v>1174</v>
      </c>
      <c r="C176" s="582"/>
      <c r="D176" s="582"/>
      <c r="E176" s="582"/>
      <c r="F176" s="582"/>
      <c r="G176" s="582"/>
      <c r="H176" s="582"/>
      <c r="I176" s="582"/>
      <c r="J176" s="582"/>
    </row>
    <row r="177" spans="2:10" s="577" customFormat="1">
      <c r="B177" s="582"/>
      <c r="C177" s="582"/>
      <c r="D177" s="582"/>
      <c r="E177" s="582"/>
      <c r="F177" s="582"/>
      <c r="G177" s="582"/>
      <c r="H177" s="582"/>
      <c r="I177" s="582"/>
      <c r="J177" s="582"/>
    </row>
    <row r="178" spans="2:10" s="577" customFormat="1">
      <c r="B178" s="583" t="s">
        <v>1175</v>
      </c>
      <c r="C178" s="583"/>
      <c r="D178" s="584"/>
      <c r="E178" s="584"/>
      <c r="F178" s="584"/>
      <c r="G178" s="582"/>
      <c r="H178" s="582"/>
      <c r="I178" s="582"/>
      <c r="J178" s="582"/>
    </row>
    <row r="179" spans="2:10" s="577" customFormat="1">
      <c r="B179" s="584"/>
      <c r="C179" s="584"/>
      <c r="D179" s="584"/>
      <c r="E179" s="584"/>
      <c r="F179" s="584"/>
      <c r="G179" s="582"/>
      <c r="H179" s="582"/>
      <c r="I179" s="582"/>
      <c r="J179" s="582"/>
    </row>
    <row r="180" spans="2:10" s="577" customFormat="1">
      <c r="B180" s="585" t="s">
        <v>1176</v>
      </c>
      <c r="C180" s="1075" t="s">
        <v>1177</v>
      </c>
      <c r="D180" s="1075"/>
      <c r="E180" s="585" t="s">
        <v>1178</v>
      </c>
      <c r="F180" s="585" t="s">
        <v>1179</v>
      </c>
      <c r="G180" s="582"/>
      <c r="H180" s="582"/>
      <c r="I180" s="582"/>
      <c r="J180" s="582"/>
    </row>
    <row r="181" spans="2:10" s="577" customFormat="1">
      <c r="B181" s="621" t="s">
        <v>1234</v>
      </c>
      <c r="C181" s="1076" t="s">
        <v>1235</v>
      </c>
      <c r="D181" s="1076"/>
      <c r="E181" s="588" t="s">
        <v>691</v>
      </c>
      <c r="F181" s="588">
        <v>2999.99</v>
      </c>
      <c r="G181" s="582"/>
      <c r="H181" s="582"/>
      <c r="I181" s="582"/>
      <c r="J181" s="582"/>
    </row>
    <row r="182" spans="2:10" s="577" customFormat="1" ht="28.5">
      <c r="B182" s="587" t="s">
        <v>1182</v>
      </c>
      <c r="C182" s="1077" t="s">
        <v>1183</v>
      </c>
      <c r="D182" s="1077"/>
      <c r="E182" s="588" t="s">
        <v>691</v>
      </c>
      <c r="F182" s="588">
        <v>2394.8200000000002</v>
      </c>
      <c r="G182" s="582"/>
      <c r="H182" s="582"/>
      <c r="I182" s="582"/>
      <c r="J182" s="582"/>
    </row>
    <row r="183" spans="2:10" s="577" customFormat="1">
      <c r="B183" s="601" t="s">
        <v>1184</v>
      </c>
      <c r="C183" s="1078" t="s">
        <v>1185</v>
      </c>
      <c r="D183" s="1078"/>
      <c r="E183" s="588" t="s">
        <v>691</v>
      </c>
      <c r="F183" s="588">
        <v>2299.9899999999998</v>
      </c>
      <c r="G183" s="582"/>
      <c r="H183" s="582"/>
      <c r="I183" s="582"/>
      <c r="J183" s="582"/>
    </row>
    <row r="184" spans="2:10" s="577" customFormat="1" ht="15.75">
      <c r="B184" s="1079" t="s">
        <v>1186</v>
      </c>
      <c r="C184" s="1079"/>
      <c r="D184" s="1079"/>
      <c r="E184" s="1079"/>
      <c r="F184" s="590">
        <f>F183</f>
        <v>2299.9899999999998</v>
      </c>
      <c r="G184" s="582"/>
      <c r="H184" s="582"/>
      <c r="I184" s="582"/>
      <c r="J184" s="582"/>
    </row>
    <row r="185" spans="2:10" s="577" customFormat="1">
      <c r="B185" s="582"/>
      <c r="C185" s="582"/>
      <c r="D185" s="582"/>
      <c r="E185" s="582"/>
      <c r="F185" s="582"/>
      <c r="G185" s="582"/>
      <c r="H185" s="582"/>
      <c r="I185" s="582"/>
      <c r="J185" s="582"/>
    </row>
    <row r="186" spans="2:10" s="577" customFormat="1">
      <c r="B186" s="585" t="s">
        <v>1187</v>
      </c>
      <c r="C186" s="585" t="s">
        <v>1178</v>
      </c>
      <c r="D186" s="585" t="s">
        <v>1188</v>
      </c>
      <c r="E186" s="585" t="s">
        <v>1189</v>
      </c>
      <c r="F186" s="585" t="s">
        <v>1190</v>
      </c>
      <c r="G186" s="585" t="s">
        <v>1191</v>
      </c>
      <c r="H186" s="585" t="s">
        <v>1192</v>
      </c>
      <c r="I186" s="585" t="s">
        <v>1179</v>
      </c>
      <c r="J186" s="585" t="s">
        <v>1193</v>
      </c>
    </row>
    <row r="187" spans="2:10" s="577" customFormat="1">
      <c r="B187" s="591" t="s">
        <v>1239</v>
      </c>
      <c r="C187" s="591" t="s">
        <v>1195</v>
      </c>
      <c r="D187" s="592">
        <v>6698</v>
      </c>
      <c r="E187" s="591">
        <v>1</v>
      </c>
      <c r="F187" s="593"/>
      <c r="G187" s="593"/>
      <c r="H187" s="593"/>
      <c r="I187" s="593">
        <v>21.76</v>
      </c>
      <c r="J187" s="593">
        <f>E187*I187</f>
        <v>21.76</v>
      </c>
    </row>
    <row r="188" spans="2:10" s="577" customFormat="1">
      <c r="B188" s="1080" t="s">
        <v>1196</v>
      </c>
      <c r="C188" s="1081"/>
      <c r="D188" s="1081"/>
      <c r="E188" s="1081"/>
      <c r="F188" s="1081"/>
      <c r="G188" s="1081"/>
      <c r="H188" s="1081"/>
      <c r="I188" s="1081"/>
      <c r="J188" s="623">
        <f>J187</f>
        <v>21.76</v>
      </c>
    </row>
    <row r="189" spans="2:10" s="577" customFormat="1">
      <c r="B189" s="582"/>
      <c r="C189" s="582"/>
      <c r="D189" s="582"/>
      <c r="E189" s="582"/>
      <c r="F189" s="582"/>
      <c r="G189" s="582"/>
      <c r="H189" s="582"/>
      <c r="I189" s="582"/>
      <c r="J189" s="582"/>
    </row>
    <row r="190" spans="2:10" s="577" customFormat="1">
      <c r="B190" s="585" t="s">
        <v>1197</v>
      </c>
      <c r="C190" s="585" t="s">
        <v>1178</v>
      </c>
      <c r="D190" s="585" t="s">
        <v>1188</v>
      </c>
      <c r="E190" s="585" t="s">
        <v>1189</v>
      </c>
      <c r="F190" s="585" t="s">
        <v>1190</v>
      </c>
      <c r="G190" s="585" t="s">
        <v>1191</v>
      </c>
      <c r="H190" s="585" t="s">
        <v>1192</v>
      </c>
      <c r="I190" s="585" t="s">
        <v>1179</v>
      </c>
      <c r="J190" s="585" t="s">
        <v>1193</v>
      </c>
    </row>
    <row r="191" spans="2:10" s="577" customFormat="1">
      <c r="B191" s="591" t="s">
        <v>1240</v>
      </c>
      <c r="C191" s="591" t="s">
        <v>1199</v>
      </c>
      <c r="D191" s="595" t="s">
        <v>1200</v>
      </c>
      <c r="E191" s="591">
        <v>1</v>
      </c>
      <c r="F191" s="593"/>
      <c r="G191" s="593"/>
      <c r="H191" s="593"/>
      <c r="I191" s="593">
        <f>F184</f>
        <v>2299.9899999999998</v>
      </c>
      <c r="J191" s="593">
        <f>E191*I191</f>
        <v>2299.9899999999998</v>
      </c>
    </row>
    <row r="192" spans="2:10" s="577" customFormat="1">
      <c r="B192" s="1080" t="s">
        <v>1196</v>
      </c>
      <c r="C192" s="1081"/>
      <c r="D192" s="1081"/>
      <c r="E192" s="1081"/>
      <c r="F192" s="1081"/>
      <c r="G192" s="1081"/>
      <c r="H192" s="1081"/>
      <c r="I192" s="1081"/>
      <c r="J192" s="623">
        <f>J191</f>
        <v>2299.9899999999998</v>
      </c>
    </row>
    <row r="193" spans="2:10" s="577" customFormat="1">
      <c r="B193" s="582"/>
      <c r="C193" s="582"/>
      <c r="D193" s="582"/>
      <c r="E193" s="582"/>
      <c r="F193" s="582"/>
      <c r="G193" s="582"/>
      <c r="H193" s="582"/>
      <c r="I193" s="582"/>
      <c r="J193" s="582"/>
    </row>
    <row r="194" spans="2:10" s="577" customFormat="1">
      <c r="B194" s="1088" t="s">
        <v>1201</v>
      </c>
      <c r="C194" s="1088"/>
      <c r="D194" s="1088"/>
      <c r="E194" s="1088"/>
      <c r="F194" s="1088"/>
      <c r="G194" s="582"/>
      <c r="H194" s="582"/>
      <c r="I194" s="582"/>
      <c r="J194" s="582"/>
    </row>
    <row r="195" spans="2:10" s="577" customFormat="1">
      <c r="B195" s="1089" t="s">
        <v>1202</v>
      </c>
      <c r="C195" s="1090"/>
      <c r="D195" s="1091"/>
      <c r="E195" s="596" t="s">
        <v>1203</v>
      </c>
      <c r="F195" s="596" t="s">
        <v>1204</v>
      </c>
      <c r="G195" s="582"/>
      <c r="H195" s="582"/>
      <c r="I195" s="582"/>
      <c r="J195" s="582"/>
    </row>
    <row r="196" spans="2:10" s="577" customFormat="1">
      <c r="B196" s="1092" t="s">
        <v>1205</v>
      </c>
      <c r="C196" s="1093"/>
      <c r="D196" s="1094"/>
      <c r="E196" s="1172">
        <v>128.33000000000001</v>
      </c>
      <c r="F196" s="598">
        <f>J188</f>
        <v>21.76</v>
      </c>
      <c r="G196" s="582"/>
      <c r="H196" s="582"/>
      <c r="I196" s="582"/>
      <c r="J196" s="582"/>
    </row>
    <row r="197" spans="2:10" s="577" customFormat="1">
      <c r="B197" s="1092" t="s">
        <v>1206</v>
      </c>
      <c r="C197" s="1093"/>
      <c r="D197" s="1094"/>
      <c r="E197" s="1173"/>
      <c r="F197" s="598">
        <f>J192</f>
        <v>2299.9899999999998</v>
      </c>
      <c r="G197" s="582"/>
      <c r="H197" s="582"/>
      <c r="I197" s="582"/>
      <c r="J197" s="582"/>
    </row>
    <row r="198" spans="2:10" s="577" customFormat="1">
      <c r="B198" s="1092" t="s">
        <v>1207</v>
      </c>
      <c r="C198" s="1093"/>
      <c r="D198" s="1094"/>
      <c r="E198" s="1173"/>
      <c r="F198" s="598">
        <v>0</v>
      </c>
      <c r="G198" s="582"/>
      <c r="H198" s="582"/>
      <c r="I198" s="582"/>
      <c r="J198" s="582"/>
    </row>
    <row r="199" spans="2:10" s="577" customFormat="1">
      <c r="B199" s="1092" t="s">
        <v>1208</v>
      </c>
      <c r="C199" s="1093"/>
      <c r="D199" s="1094"/>
      <c r="E199" s="1173"/>
      <c r="F199" s="598">
        <v>1</v>
      </c>
      <c r="G199" s="582"/>
      <c r="H199" s="582"/>
      <c r="I199" s="582"/>
      <c r="J199" s="582"/>
    </row>
    <row r="200" spans="2:10" s="577" customFormat="1">
      <c r="B200" s="1092" t="s">
        <v>1209</v>
      </c>
      <c r="C200" s="1093"/>
      <c r="D200" s="1094"/>
      <c r="E200" s="1173"/>
      <c r="F200" s="598">
        <f>F196+F198</f>
        <v>21.76</v>
      </c>
      <c r="G200" s="582"/>
      <c r="H200" s="582"/>
      <c r="I200" s="582"/>
      <c r="J200" s="582"/>
    </row>
    <row r="201" spans="2:10" s="577" customFormat="1">
      <c r="B201" s="1092" t="s">
        <v>1210</v>
      </c>
      <c r="C201" s="1093"/>
      <c r="D201" s="1094"/>
      <c r="E201" s="1173"/>
      <c r="F201" s="598">
        <f>(F196/F199)+(F198/F199)</f>
        <v>21.76</v>
      </c>
      <c r="G201" s="582"/>
      <c r="H201" s="582"/>
      <c r="I201" s="582"/>
      <c r="J201" s="582"/>
    </row>
    <row r="202" spans="2:10" s="577" customFormat="1">
      <c r="B202" s="1092" t="s">
        <v>1211</v>
      </c>
      <c r="C202" s="1093"/>
      <c r="D202" s="1094"/>
      <c r="E202" s="1174"/>
      <c r="F202" s="598">
        <f>F197+F201</f>
        <v>2321.75</v>
      </c>
      <c r="G202" s="582"/>
      <c r="H202" s="582"/>
      <c r="I202" s="582"/>
      <c r="J202" s="582"/>
    </row>
    <row r="203" spans="2:10" s="577" customFormat="1">
      <c r="B203" s="1092" t="s">
        <v>1212</v>
      </c>
      <c r="C203" s="1093"/>
      <c r="D203" s="1094"/>
      <c r="E203" s="1172">
        <v>0</v>
      </c>
      <c r="F203" s="598">
        <f>F202*(E203/100)</f>
        <v>0</v>
      </c>
      <c r="G203" s="582"/>
      <c r="H203" s="582"/>
      <c r="I203" s="582"/>
      <c r="J203" s="582"/>
    </row>
    <row r="204" spans="2:10" s="577" customFormat="1">
      <c r="B204" s="1095" t="s">
        <v>1213</v>
      </c>
      <c r="C204" s="1096"/>
      <c r="D204" s="1097"/>
      <c r="E204" s="1174"/>
      <c r="F204" s="600">
        <f>F202+F203</f>
        <v>2321.75</v>
      </c>
      <c r="G204" s="582"/>
      <c r="H204" s="582"/>
      <c r="I204" s="582"/>
      <c r="J204" s="582"/>
    </row>
    <row r="205" spans="2:10" s="577" customFormat="1"/>
    <row r="206" spans="2:10" s="577" customFormat="1"/>
    <row r="207" spans="2:10" s="577" customFormat="1"/>
    <row r="208" spans="2:10" s="577" customFormat="1"/>
    <row r="209" spans="2:10" s="577" customFormat="1">
      <c r="B209" s="578" t="s">
        <v>1241</v>
      </c>
      <c r="C209" s="582"/>
      <c r="D209" s="582"/>
      <c r="E209" s="582"/>
      <c r="F209" s="582"/>
      <c r="G209" s="578" t="s">
        <v>1233</v>
      </c>
      <c r="I209" s="582"/>
      <c r="J209" s="582"/>
    </row>
    <row r="210" spans="2:10" s="577" customFormat="1">
      <c r="B210" s="582" t="s">
        <v>1174</v>
      </c>
      <c r="C210" s="582"/>
      <c r="D210" s="582"/>
      <c r="E210" s="582"/>
      <c r="F210" s="582"/>
      <c r="G210" s="582"/>
      <c r="H210" s="582"/>
      <c r="I210" s="582"/>
      <c r="J210" s="582"/>
    </row>
    <row r="211" spans="2:10" s="577" customFormat="1">
      <c r="B211" s="582"/>
      <c r="C211" s="582"/>
      <c r="D211" s="582"/>
      <c r="E211" s="582"/>
      <c r="F211" s="582"/>
      <c r="G211" s="582"/>
      <c r="H211" s="582"/>
      <c r="I211" s="582"/>
      <c r="J211" s="582"/>
    </row>
    <row r="212" spans="2:10" s="577" customFormat="1">
      <c r="B212" s="583" t="s">
        <v>1175</v>
      </c>
      <c r="C212" s="583"/>
      <c r="D212" s="584"/>
      <c r="E212" s="584"/>
      <c r="F212" s="584"/>
      <c r="G212" s="582"/>
      <c r="H212" s="582"/>
      <c r="I212" s="582"/>
      <c r="J212" s="582"/>
    </row>
    <row r="213" spans="2:10" s="577" customFormat="1">
      <c r="B213" s="584"/>
      <c r="C213" s="584"/>
      <c r="D213" s="584"/>
      <c r="E213" s="584"/>
      <c r="F213" s="584"/>
      <c r="G213" s="582"/>
      <c r="H213" s="582"/>
      <c r="I213" s="582"/>
      <c r="J213" s="582"/>
    </row>
    <row r="214" spans="2:10" s="577" customFormat="1">
      <c r="B214" s="585" t="s">
        <v>1176</v>
      </c>
      <c r="C214" s="1075" t="s">
        <v>1177</v>
      </c>
      <c r="D214" s="1075"/>
      <c r="E214" s="585" t="s">
        <v>1178</v>
      </c>
      <c r="F214" s="585" t="s">
        <v>1179</v>
      </c>
      <c r="G214" s="582"/>
      <c r="H214" s="582"/>
      <c r="I214" s="582"/>
      <c r="J214" s="582"/>
    </row>
    <row r="215" spans="2:10" s="577" customFormat="1">
      <c r="B215" s="618" t="s">
        <v>1242</v>
      </c>
      <c r="C215" s="1076" t="s">
        <v>1235</v>
      </c>
      <c r="D215" s="1076"/>
      <c r="E215" s="588" t="s">
        <v>691</v>
      </c>
      <c r="F215" s="588">
        <v>572</v>
      </c>
      <c r="G215" s="582"/>
      <c r="H215" s="582"/>
      <c r="I215" s="582"/>
      <c r="J215" s="582"/>
    </row>
    <row r="216" spans="2:10" s="577" customFormat="1" ht="28.5">
      <c r="B216" s="587" t="s">
        <v>1182</v>
      </c>
      <c r="C216" s="1077" t="s">
        <v>1183</v>
      </c>
      <c r="D216" s="1077"/>
      <c r="E216" s="588" t="s">
        <v>691</v>
      </c>
      <c r="F216" s="588">
        <v>588.99</v>
      </c>
      <c r="G216" s="582"/>
      <c r="H216" s="582"/>
      <c r="I216" s="582"/>
      <c r="J216" s="582"/>
    </row>
    <row r="217" spans="2:10" s="577" customFormat="1">
      <c r="B217" s="601" t="s">
        <v>1184</v>
      </c>
      <c r="C217" s="1078" t="s">
        <v>1185</v>
      </c>
      <c r="D217" s="1078"/>
      <c r="E217" s="588" t="s">
        <v>691</v>
      </c>
      <c r="F217" s="588">
        <v>588.45000000000005</v>
      </c>
      <c r="G217" s="582"/>
      <c r="H217" s="582"/>
      <c r="I217" s="582"/>
      <c r="J217" s="582"/>
    </row>
    <row r="218" spans="2:10" s="577" customFormat="1" ht="15.75">
      <c r="B218" s="1079" t="s">
        <v>1186</v>
      </c>
      <c r="C218" s="1079"/>
      <c r="D218" s="1079"/>
      <c r="E218" s="1079"/>
      <c r="F218" s="590">
        <f>F217</f>
        <v>588.45000000000005</v>
      </c>
      <c r="G218" s="582"/>
      <c r="H218" s="582"/>
      <c r="I218" s="582"/>
      <c r="J218" s="582"/>
    </row>
    <row r="219" spans="2:10" s="577" customFormat="1">
      <c r="B219" s="582"/>
      <c r="C219" s="582"/>
      <c r="D219" s="582"/>
      <c r="E219" s="582"/>
      <c r="F219" s="582"/>
      <c r="G219" s="582"/>
      <c r="H219" s="582"/>
      <c r="I219" s="582"/>
      <c r="J219" s="582"/>
    </row>
    <row r="220" spans="2:10" s="577" customFormat="1">
      <c r="B220" s="585" t="s">
        <v>1187</v>
      </c>
      <c r="C220" s="585" t="s">
        <v>1178</v>
      </c>
      <c r="D220" s="585" t="s">
        <v>1188</v>
      </c>
      <c r="E220" s="585" t="s">
        <v>1189</v>
      </c>
      <c r="F220" s="585" t="s">
        <v>1190</v>
      </c>
      <c r="G220" s="585" t="s">
        <v>1191</v>
      </c>
      <c r="H220" s="585" t="s">
        <v>1192</v>
      </c>
      <c r="I220" s="585" t="s">
        <v>1179</v>
      </c>
      <c r="J220" s="585" t="s">
        <v>1193</v>
      </c>
    </row>
    <row r="221" spans="2:10" s="577" customFormat="1">
      <c r="B221" s="591" t="s">
        <v>1239</v>
      </c>
      <c r="C221" s="591" t="s">
        <v>1195</v>
      </c>
      <c r="D221" s="592">
        <v>6698</v>
      </c>
      <c r="E221" s="591">
        <v>1</v>
      </c>
      <c r="F221" s="593"/>
      <c r="G221" s="593"/>
      <c r="H221" s="593"/>
      <c r="I221" s="593">
        <v>21.76</v>
      </c>
      <c r="J221" s="593">
        <f>E221*I221</f>
        <v>21.76</v>
      </c>
    </row>
    <row r="222" spans="2:10" s="577" customFormat="1">
      <c r="B222" s="1080" t="s">
        <v>1196</v>
      </c>
      <c r="C222" s="1081"/>
      <c r="D222" s="1081"/>
      <c r="E222" s="1081"/>
      <c r="F222" s="1081"/>
      <c r="G222" s="1081"/>
      <c r="H222" s="1081"/>
      <c r="I222" s="1081"/>
      <c r="J222" s="623">
        <f>J221</f>
        <v>21.76</v>
      </c>
    </row>
    <row r="223" spans="2:10" s="577" customFormat="1">
      <c r="B223" s="582"/>
      <c r="C223" s="582"/>
      <c r="D223" s="582"/>
      <c r="E223" s="582"/>
      <c r="F223" s="582"/>
      <c r="G223" s="582"/>
      <c r="H223" s="582"/>
      <c r="I223" s="582"/>
      <c r="J223" s="582"/>
    </row>
    <row r="224" spans="2:10" s="577" customFormat="1">
      <c r="B224" s="585" t="s">
        <v>1197</v>
      </c>
      <c r="C224" s="585" t="s">
        <v>1178</v>
      </c>
      <c r="D224" s="585" t="s">
        <v>1188</v>
      </c>
      <c r="E224" s="585" t="s">
        <v>1189</v>
      </c>
      <c r="F224" s="585" t="s">
        <v>1190</v>
      </c>
      <c r="G224" s="585" t="s">
        <v>1191</v>
      </c>
      <c r="H224" s="585" t="s">
        <v>1192</v>
      </c>
      <c r="I224" s="585" t="s">
        <v>1179</v>
      </c>
      <c r="J224" s="585" t="s">
        <v>1193</v>
      </c>
    </row>
    <row r="225" spans="2:10" s="577" customFormat="1">
      <c r="B225" s="594" t="s">
        <v>1243</v>
      </c>
      <c r="C225" s="591" t="s">
        <v>1199</v>
      </c>
      <c r="D225" s="595" t="s">
        <v>1200</v>
      </c>
      <c r="E225" s="591">
        <v>1</v>
      </c>
      <c r="F225" s="593"/>
      <c r="G225" s="593"/>
      <c r="H225" s="593"/>
      <c r="I225" s="593">
        <f>F218</f>
        <v>588.45000000000005</v>
      </c>
      <c r="J225" s="593">
        <f>E225*I225</f>
        <v>588.45000000000005</v>
      </c>
    </row>
    <row r="226" spans="2:10" s="577" customFormat="1">
      <c r="B226" s="1080" t="s">
        <v>1196</v>
      </c>
      <c r="C226" s="1081"/>
      <c r="D226" s="1081"/>
      <c r="E226" s="1081"/>
      <c r="F226" s="1081"/>
      <c r="G226" s="1081"/>
      <c r="H226" s="1081"/>
      <c r="I226" s="1081"/>
      <c r="J226" s="623">
        <f>J225</f>
        <v>588.45000000000005</v>
      </c>
    </row>
    <row r="227" spans="2:10" s="577" customFormat="1">
      <c r="B227" s="582"/>
      <c r="C227" s="582"/>
      <c r="D227" s="582"/>
      <c r="E227" s="582"/>
      <c r="F227" s="582"/>
      <c r="G227" s="582"/>
      <c r="H227" s="582"/>
      <c r="I227" s="582"/>
      <c r="J227" s="582"/>
    </row>
    <row r="228" spans="2:10" s="577" customFormat="1">
      <c r="B228" s="1088" t="s">
        <v>1201</v>
      </c>
      <c r="C228" s="1088"/>
      <c r="D228" s="1088"/>
      <c r="E228" s="1088"/>
      <c r="F228" s="1088"/>
      <c r="G228" s="582"/>
      <c r="H228" s="582"/>
      <c r="I228" s="582"/>
      <c r="J228" s="582"/>
    </row>
    <row r="229" spans="2:10" s="577" customFormat="1">
      <c r="B229" s="1089" t="s">
        <v>1202</v>
      </c>
      <c r="C229" s="1090"/>
      <c r="D229" s="1091"/>
      <c r="E229" s="596" t="s">
        <v>1203</v>
      </c>
      <c r="F229" s="596" t="s">
        <v>1204</v>
      </c>
      <c r="G229" s="582"/>
      <c r="H229" s="582"/>
      <c r="I229" s="582"/>
      <c r="J229" s="582"/>
    </row>
    <row r="230" spans="2:10" s="577" customFormat="1">
      <c r="B230" s="1092" t="s">
        <v>1205</v>
      </c>
      <c r="C230" s="1093"/>
      <c r="D230" s="1094"/>
      <c r="E230" s="1172">
        <v>128.33000000000001</v>
      </c>
      <c r="F230" s="598">
        <f>J222</f>
        <v>21.76</v>
      </c>
      <c r="G230" s="582"/>
      <c r="H230" s="582"/>
      <c r="I230" s="582"/>
      <c r="J230" s="582"/>
    </row>
    <row r="231" spans="2:10" s="577" customFormat="1">
      <c r="B231" s="1092" t="s">
        <v>1206</v>
      </c>
      <c r="C231" s="1093"/>
      <c r="D231" s="1094"/>
      <c r="E231" s="1173"/>
      <c r="F231" s="598">
        <f>J226</f>
        <v>588.45000000000005</v>
      </c>
      <c r="G231" s="582"/>
      <c r="H231" s="582"/>
      <c r="I231" s="582"/>
      <c r="J231" s="582"/>
    </row>
    <row r="232" spans="2:10" s="577" customFormat="1">
      <c r="B232" s="1092" t="s">
        <v>1207</v>
      </c>
      <c r="C232" s="1093"/>
      <c r="D232" s="1094"/>
      <c r="E232" s="1173"/>
      <c r="F232" s="598">
        <v>0</v>
      </c>
      <c r="G232" s="582"/>
      <c r="H232" s="582"/>
      <c r="I232" s="582"/>
      <c r="J232" s="582"/>
    </row>
    <row r="233" spans="2:10" s="577" customFormat="1">
      <c r="B233" s="1092" t="s">
        <v>1208</v>
      </c>
      <c r="C233" s="1093"/>
      <c r="D233" s="1094"/>
      <c r="E233" s="1173"/>
      <c r="F233" s="598">
        <v>1</v>
      </c>
      <c r="G233" s="582"/>
      <c r="H233" s="582"/>
      <c r="I233" s="582"/>
      <c r="J233" s="582"/>
    </row>
    <row r="234" spans="2:10" s="577" customFormat="1">
      <c r="B234" s="1092" t="s">
        <v>1209</v>
      </c>
      <c r="C234" s="1093"/>
      <c r="D234" s="1094"/>
      <c r="E234" s="1173"/>
      <c r="F234" s="598">
        <f>F230+F232</f>
        <v>21.76</v>
      </c>
      <c r="G234" s="582"/>
      <c r="H234" s="582"/>
      <c r="I234" s="582"/>
      <c r="J234" s="582"/>
    </row>
    <row r="235" spans="2:10" s="577" customFormat="1">
      <c r="B235" s="1092" t="s">
        <v>1210</v>
      </c>
      <c r="C235" s="1093"/>
      <c r="D235" s="1094"/>
      <c r="E235" s="1173"/>
      <c r="F235" s="598">
        <f>(F230/F233)+(F232/F233)</f>
        <v>21.76</v>
      </c>
      <c r="G235" s="582"/>
      <c r="H235" s="582"/>
      <c r="I235" s="582"/>
      <c r="J235" s="582"/>
    </row>
    <row r="236" spans="2:10" s="577" customFormat="1">
      <c r="B236" s="1092" t="s">
        <v>1211</v>
      </c>
      <c r="C236" s="1093"/>
      <c r="D236" s="1094"/>
      <c r="E236" s="1174"/>
      <c r="F236" s="598">
        <f>F231+F235</f>
        <v>610.21</v>
      </c>
      <c r="G236" s="582"/>
      <c r="H236" s="582"/>
      <c r="I236" s="582"/>
      <c r="J236" s="582"/>
    </row>
    <row r="237" spans="2:10" s="577" customFormat="1">
      <c r="B237" s="1092" t="s">
        <v>1212</v>
      </c>
      <c r="C237" s="1093"/>
      <c r="D237" s="1094"/>
      <c r="E237" s="1172">
        <v>0</v>
      </c>
      <c r="F237" s="598">
        <f>F236*(E237/100)</f>
        <v>0</v>
      </c>
      <c r="G237" s="582"/>
      <c r="H237" s="582"/>
      <c r="I237" s="582"/>
      <c r="J237" s="582"/>
    </row>
    <row r="238" spans="2:10" s="577" customFormat="1">
      <c r="B238" s="1095" t="s">
        <v>1213</v>
      </c>
      <c r="C238" s="1096"/>
      <c r="D238" s="1097"/>
      <c r="E238" s="1174"/>
      <c r="F238" s="600">
        <f>F236+F237</f>
        <v>610.21</v>
      </c>
      <c r="G238" s="582"/>
      <c r="H238" s="582"/>
      <c r="I238" s="582"/>
      <c r="J238" s="582"/>
    </row>
    <row r="239" spans="2:10" s="577" customFormat="1"/>
    <row r="240" spans="2:10" s="577" customFormat="1"/>
    <row r="241" spans="2:10" s="577" customFormat="1">
      <c r="B241" s="1074" t="s">
        <v>1244</v>
      </c>
      <c r="C241" s="1074"/>
      <c r="D241" s="1074"/>
      <c r="E241" s="1074"/>
      <c r="F241" s="1074"/>
      <c r="G241" s="1074"/>
    </row>
    <row r="242" spans="2:10" s="577" customFormat="1"/>
    <row r="243" spans="2:10" s="577" customFormat="1"/>
    <row r="244" spans="2:10" s="577" customFormat="1">
      <c r="B244" s="578" t="s">
        <v>1245</v>
      </c>
      <c r="C244" s="582"/>
      <c r="D244" s="582"/>
      <c r="E244" s="582"/>
      <c r="F244" s="582"/>
      <c r="G244" s="582"/>
      <c r="H244" s="578" t="s">
        <v>1233</v>
      </c>
      <c r="I244" s="582"/>
      <c r="J244" s="582"/>
    </row>
    <row r="245" spans="2:10" s="577" customFormat="1">
      <c r="B245" s="582" t="s">
        <v>1174</v>
      </c>
      <c r="C245" s="582"/>
      <c r="D245" s="582"/>
      <c r="E245" s="582"/>
      <c r="F245" s="582"/>
      <c r="G245" s="582"/>
      <c r="H245" s="582"/>
      <c r="I245" s="582"/>
      <c r="J245" s="582"/>
    </row>
    <row r="246" spans="2:10" s="577" customFormat="1">
      <c r="B246" s="582"/>
      <c r="C246" s="582"/>
      <c r="D246" s="582"/>
      <c r="E246" s="582"/>
      <c r="F246" s="582"/>
      <c r="G246" s="582"/>
      <c r="H246" s="582"/>
      <c r="I246" s="582"/>
      <c r="J246" s="582"/>
    </row>
    <row r="247" spans="2:10" s="577" customFormat="1">
      <c r="B247" s="583" t="s">
        <v>1175</v>
      </c>
      <c r="C247" s="583"/>
      <c r="D247" s="584"/>
      <c r="E247" s="584"/>
      <c r="F247" s="584"/>
      <c r="G247" s="582"/>
      <c r="H247" s="582"/>
      <c r="I247" s="582"/>
      <c r="J247" s="582"/>
    </row>
    <row r="248" spans="2:10" s="577" customFormat="1">
      <c r="B248" s="584"/>
      <c r="C248" s="584"/>
      <c r="D248" s="584"/>
      <c r="E248" s="584"/>
      <c r="F248" s="584"/>
      <c r="G248" s="582"/>
      <c r="H248" s="582"/>
      <c r="I248" s="582"/>
      <c r="J248" s="582"/>
    </row>
    <row r="249" spans="2:10" s="577" customFormat="1">
      <c r="B249" s="585" t="s">
        <v>1176</v>
      </c>
      <c r="C249" s="1098" t="s">
        <v>1177</v>
      </c>
      <c r="D249" s="1099"/>
      <c r="E249" s="585" t="s">
        <v>1178</v>
      </c>
      <c r="F249" s="585" t="s">
        <v>1179</v>
      </c>
      <c r="G249" s="582"/>
      <c r="H249" s="582"/>
      <c r="I249" s="582"/>
      <c r="J249" s="582"/>
    </row>
    <row r="250" spans="2:10" s="577" customFormat="1" ht="28.5">
      <c r="B250" s="587" t="s">
        <v>1182</v>
      </c>
      <c r="C250" s="1077" t="s">
        <v>1183</v>
      </c>
      <c r="D250" s="1077"/>
      <c r="E250" s="588" t="s">
        <v>691</v>
      </c>
      <c r="F250" s="588">
        <v>199.9</v>
      </c>
      <c r="G250" s="582"/>
      <c r="H250" s="582"/>
      <c r="I250" s="582"/>
      <c r="J250" s="582"/>
    </row>
    <row r="251" spans="2:10" s="577" customFormat="1">
      <c r="B251" s="636" t="s">
        <v>1246</v>
      </c>
      <c r="C251" s="1078" t="s">
        <v>1247</v>
      </c>
      <c r="D251" s="1078"/>
      <c r="E251" s="588" t="s">
        <v>691</v>
      </c>
      <c r="F251" s="588">
        <v>199.9</v>
      </c>
      <c r="G251" s="582"/>
      <c r="H251" s="582"/>
      <c r="I251" s="582"/>
      <c r="J251" s="582"/>
    </row>
    <row r="252" spans="2:10" s="577" customFormat="1" ht="28.5">
      <c r="B252" s="636" t="s">
        <v>1248</v>
      </c>
      <c r="C252" s="1078" t="s">
        <v>1185</v>
      </c>
      <c r="D252" s="1078"/>
      <c r="E252" s="588" t="s">
        <v>691</v>
      </c>
      <c r="F252" s="588">
        <v>220.31</v>
      </c>
      <c r="G252" s="582"/>
      <c r="H252" s="582"/>
      <c r="I252" s="582"/>
      <c r="J252" s="582"/>
    </row>
    <row r="253" spans="2:10" s="577" customFormat="1">
      <c r="B253" s="1100" t="s">
        <v>1186</v>
      </c>
      <c r="C253" s="1100"/>
      <c r="D253" s="1100"/>
      <c r="E253" s="1100"/>
      <c r="F253" s="637">
        <f>F251</f>
        <v>199.9</v>
      </c>
      <c r="G253" s="582"/>
      <c r="H253" s="582"/>
      <c r="I253" s="582"/>
      <c r="J253" s="582"/>
    </row>
    <row r="254" spans="2:10" s="577" customFormat="1">
      <c r="B254" s="582"/>
      <c r="C254" s="582"/>
      <c r="D254" s="582"/>
      <c r="E254" s="582"/>
      <c r="F254" s="582"/>
      <c r="G254" s="582"/>
      <c r="H254" s="582"/>
      <c r="I254" s="582"/>
      <c r="J254" s="582"/>
    </row>
    <row r="255" spans="2:10" s="577" customFormat="1">
      <c r="B255" s="585" t="s">
        <v>1187</v>
      </c>
      <c r="C255" s="585" t="s">
        <v>1178</v>
      </c>
      <c r="D255" s="585" t="s">
        <v>1188</v>
      </c>
      <c r="E255" s="585" t="s">
        <v>1189</v>
      </c>
      <c r="F255" s="585" t="s">
        <v>1190</v>
      </c>
      <c r="G255" s="585" t="s">
        <v>1191</v>
      </c>
      <c r="H255" s="585" t="s">
        <v>1192</v>
      </c>
      <c r="I255" s="585" t="s">
        <v>1179</v>
      </c>
      <c r="J255" s="585" t="s">
        <v>1193</v>
      </c>
    </row>
    <row r="256" spans="2:10" s="577" customFormat="1">
      <c r="B256" s="591" t="s">
        <v>1239</v>
      </c>
      <c r="C256" s="591" t="s">
        <v>1195</v>
      </c>
      <c r="D256" s="592">
        <v>6698</v>
      </c>
      <c r="E256" s="592">
        <v>1</v>
      </c>
      <c r="F256" s="593"/>
      <c r="G256" s="593"/>
      <c r="H256" s="593"/>
      <c r="I256" s="593">
        <v>21.76</v>
      </c>
      <c r="J256" s="593">
        <f>E256*I256</f>
        <v>21.76</v>
      </c>
    </row>
    <row r="257" spans="2:10" s="577" customFormat="1">
      <c r="B257" s="1080" t="s">
        <v>1196</v>
      </c>
      <c r="C257" s="1081"/>
      <c r="D257" s="1081"/>
      <c r="E257" s="1081"/>
      <c r="F257" s="1081"/>
      <c r="G257" s="1081"/>
      <c r="H257" s="1081"/>
      <c r="I257" s="1081"/>
      <c r="J257" s="623">
        <f>J256</f>
        <v>21.76</v>
      </c>
    </row>
    <row r="258" spans="2:10" s="577" customFormat="1">
      <c r="B258" s="582"/>
      <c r="C258" s="582"/>
      <c r="D258" s="582"/>
      <c r="E258" s="582"/>
      <c r="F258" s="582"/>
      <c r="G258" s="582"/>
      <c r="H258" s="582"/>
      <c r="I258" s="582"/>
      <c r="J258" s="582"/>
    </row>
    <row r="259" spans="2:10" s="577" customFormat="1">
      <c r="B259" s="585" t="s">
        <v>1197</v>
      </c>
      <c r="C259" s="585" t="s">
        <v>1178</v>
      </c>
      <c r="D259" s="585" t="s">
        <v>1188</v>
      </c>
      <c r="E259" s="585" t="s">
        <v>1189</v>
      </c>
      <c r="F259" s="585" t="s">
        <v>1190</v>
      </c>
      <c r="G259" s="585" t="s">
        <v>1191</v>
      </c>
      <c r="H259" s="585" t="s">
        <v>1192</v>
      </c>
      <c r="I259" s="585" t="s">
        <v>1179</v>
      </c>
      <c r="J259" s="585" t="s">
        <v>1193</v>
      </c>
    </row>
    <row r="260" spans="2:10" s="577" customFormat="1">
      <c r="B260" s="636" t="s">
        <v>1249</v>
      </c>
      <c r="C260" s="591" t="s">
        <v>1199</v>
      </c>
      <c r="D260" s="595" t="s">
        <v>1200</v>
      </c>
      <c r="E260" s="592">
        <v>1</v>
      </c>
      <c r="F260" s="593"/>
      <c r="G260" s="593"/>
      <c r="H260" s="593"/>
      <c r="I260" s="593">
        <f>F253</f>
        <v>199.9</v>
      </c>
      <c r="J260" s="593">
        <f>E260*I260</f>
        <v>199.9</v>
      </c>
    </row>
    <row r="261" spans="2:10" s="577" customFormat="1">
      <c r="B261" s="1080" t="s">
        <v>1196</v>
      </c>
      <c r="C261" s="1081"/>
      <c r="D261" s="1081"/>
      <c r="E261" s="1081"/>
      <c r="F261" s="1081"/>
      <c r="G261" s="1081"/>
      <c r="H261" s="1081"/>
      <c r="I261" s="1081"/>
      <c r="J261" s="623">
        <f>J260</f>
        <v>199.9</v>
      </c>
    </row>
    <row r="262" spans="2:10" s="577" customFormat="1">
      <c r="B262" s="582"/>
      <c r="C262" s="582"/>
      <c r="D262" s="582"/>
      <c r="E262" s="582"/>
      <c r="F262" s="582"/>
      <c r="G262" s="582"/>
      <c r="H262" s="582"/>
      <c r="I262" s="582"/>
      <c r="J262" s="582"/>
    </row>
    <row r="263" spans="2:10" s="577" customFormat="1">
      <c r="B263" s="1088" t="s">
        <v>1201</v>
      </c>
      <c r="C263" s="1088"/>
      <c r="D263" s="1088"/>
      <c r="E263" s="1088"/>
      <c r="F263" s="1088"/>
      <c r="G263" s="582"/>
      <c r="H263" s="582"/>
      <c r="I263" s="582"/>
      <c r="J263" s="582"/>
    </row>
    <row r="264" spans="2:10" s="577" customFormat="1">
      <c r="B264" s="1089" t="s">
        <v>1202</v>
      </c>
      <c r="C264" s="1090"/>
      <c r="D264" s="1091"/>
      <c r="E264" s="596" t="s">
        <v>1203</v>
      </c>
      <c r="F264" s="596" t="s">
        <v>1204</v>
      </c>
      <c r="G264" s="582"/>
      <c r="H264" s="582"/>
      <c r="I264" s="582"/>
      <c r="J264" s="582"/>
    </row>
    <row r="265" spans="2:10" s="577" customFormat="1">
      <c r="B265" s="1092" t="s">
        <v>1205</v>
      </c>
      <c r="C265" s="1093"/>
      <c r="D265" s="1094"/>
      <c r="E265" s="1172">
        <v>128.33000000000001</v>
      </c>
      <c r="F265" s="598">
        <f>J257</f>
        <v>21.76</v>
      </c>
      <c r="G265" s="582"/>
      <c r="H265" s="582"/>
      <c r="I265" s="582"/>
      <c r="J265" s="582"/>
    </row>
    <row r="266" spans="2:10" s="577" customFormat="1">
      <c r="B266" s="1092" t="s">
        <v>1206</v>
      </c>
      <c r="C266" s="1093"/>
      <c r="D266" s="1094"/>
      <c r="E266" s="1173"/>
      <c r="F266" s="598">
        <f>J261</f>
        <v>199.9</v>
      </c>
      <c r="G266" s="582"/>
      <c r="H266" s="582"/>
      <c r="I266" s="582"/>
      <c r="J266" s="582"/>
    </row>
    <row r="267" spans="2:10" s="577" customFormat="1">
      <c r="B267" s="1092" t="s">
        <v>1207</v>
      </c>
      <c r="C267" s="1093"/>
      <c r="D267" s="1094"/>
      <c r="E267" s="1173"/>
      <c r="F267" s="598">
        <v>0</v>
      </c>
      <c r="G267" s="582"/>
      <c r="H267" s="582"/>
      <c r="I267" s="582"/>
      <c r="J267" s="582"/>
    </row>
    <row r="268" spans="2:10" s="577" customFormat="1">
      <c r="B268" s="1092" t="s">
        <v>1208</v>
      </c>
      <c r="C268" s="1093"/>
      <c r="D268" s="1094"/>
      <c r="E268" s="1173"/>
      <c r="F268" s="598">
        <v>1</v>
      </c>
      <c r="G268" s="582"/>
      <c r="H268" s="582"/>
      <c r="I268" s="582"/>
      <c r="J268" s="582"/>
    </row>
    <row r="269" spans="2:10" s="577" customFormat="1">
      <c r="B269" s="1092" t="s">
        <v>1209</v>
      </c>
      <c r="C269" s="1093"/>
      <c r="D269" s="1094"/>
      <c r="E269" s="1173"/>
      <c r="F269" s="598">
        <f>F265+F267</f>
        <v>21.76</v>
      </c>
      <c r="G269" s="582"/>
      <c r="H269" s="582"/>
      <c r="I269" s="582"/>
      <c r="J269" s="582"/>
    </row>
    <row r="270" spans="2:10" s="577" customFormat="1">
      <c r="B270" s="1092" t="s">
        <v>1210</v>
      </c>
      <c r="C270" s="1093"/>
      <c r="D270" s="1094"/>
      <c r="E270" s="1173"/>
      <c r="F270" s="598">
        <f>(F265/F268)+(F267/F268)</f>
        <v>21.76</v>
      </c>
      <c r="G270" s="582"/>
      <c r="H270" s="582"/>
      <c r="I270" s="582"/>
      <c r="J270" s="582"/>
    </row>
    <row r="271" spans="2:10" s="577" customFormat="1">
      <c r="B271" s="1092" t="s">
        <v>1211</v>
      </c>
      <c r="C271" s="1093"/>
      <c r="D271" s="1094"/>
      <c r="E271" s="1174"/>
      <c r="F271" s="598">
        <f>F266+F270</f>
        <v>221.66</v>
      </c>
      <c r="G271" s="582"/>
      <c r="H271" s="582"/>
      <c r="I271" s="582"/>
      <c r="J271" s="582"/>
    </row>
    <row r="272" spans="2:10" s="577" customFormat="1">
      <c r="B272" s="1092" t="s">
        <v>1212</v>
      </c>
      <c r="C272" s="1093"/>
      <c r="D272" s="1094"/>
      <c r="E272" s="1172">
        <v>0</v>
      </c>
      <c r="F272" s="598">
        <f>F271*(E272/100)</f>
        <v>0</v>
      </c>
      <c r="G272" s="582"/>
      <c r="H272" s="582"/>
      <c r="I272" s="582"/>
      <c r="J272" s="582"/>
    </row>
    <row r="273" spans="2:10" s="577" customFormat="1">
      <c r="B273" s="1095" t="s">
        <v>1213</v>
      </c>
      <c r="C273" s="1096"/>
      <c r="D273" s="1097"/>
      <c r="E273" s="1174"/>
      <c r="F273" s="600">
        <f>F271+F272</f>
        <v>221.66</v>
      </c>
      <c r="G273" s="582"/>
      <c r="H273" s="582"/>
      <c r="I273" s="582"/>
      <c r="J273" s="582"/>
    </row>
    <row r="274" spans="2:10" s="577" customFormat="1"/>
    <row r="275" spans="2:10" s="577" customFormat="1"/>
    <row r="276" spans="2:10" s="577" customFormat="1">
      <c r="B276" s="1074" t="s">
        <v>1250</v>
      </c>
      <c r="C276" s="1074"/>
      <c r="D276" s="1074"/>
      <c r="E276" s="1074"/>
      <c r="F276" s="1074"/>
    </row>
    <row r="277" spans="2:10" s="577" customFormat="1"/>
    <row r="278" spans="2:10" s="577" customFormat="1"/>
    <row r="279" spans="2:10" s="577" customFormat="1">
      <c r="B279" s="578" t="s">
        <v>1251</v>
      </c>
      <c r="C279" s="582"/>
      <c r="D279" s="582"/>
      <c r="E279" s="582"/>
      <c r="F279" s="582"/>
      <c r="G279" s="582"/>
      <c r="H279" s="578" t="s">
        <v>1233</v>
      </c>
      <c r="I279" s="582"/>
      <c r="J279" s="582"/>
    </row>
    <row r="280" spans="2:10" s="577" customFormat="1">
      <c r="B280" s="582" t="s">
        <v>1174</v>
      </c>
      <c r="C280" s="582"/>
      <c r="D280" s="582"/>
      <c r="E280" s="582"/>
      <c r="F280" s="582"/>
      <c r="G280" s="582"/>
      <c r="H280" s="582"/>
      <c r="I280" s="582"/>
      <c r="J280" s="582"/>
    </row>
    <row r="281" spans="2:10" s="577" customFormat="1">
      <c r="B281" s="582"/>
      <c r="C281" s="582"/>
      <c r="D281" s="582"/>
      <c r="E281" s="582"/>
      <c r="F281" s="582"/>
      <c r="G281" s="582"/>
      <c r="H281" s="582"/>
      <c r="I281" s="582"/>
      <c r="J281" s="582"/>
    </row>
    <row r="282" spans="2:10" s="577" customFormat="1">
      <c r="B282" s="583" t="s">
        <v>1175</v>
      </c>
      <c r="C282" s="583"/>
      <c r="D282" s="584"/>
      <c r="E282" s="584"/>
      <c r="F282" s="584"/>
      <c r="G282" s="582"/>
      <c r="H282" s="582"/>
      <c r="I282" s="582"/>
      <c r="J282" s="582"/>
    </row>
    <row r="283" spans="2:10" s="577" customFormat="1">
      <c r="B283" s="584"/>
      <c r="C283" s="584"/>
      <c r="D283" s="584"/>
      <c r="E283" s="584"/>
      <c r="F283" s="584"/>
      <c r="G283" s="582"/>
      <c r="H283" s="582"/>
      <c r="I283" s="582"/>
      <c r="J283" s="582"/>
    </row>
    <row r="284" spans="2:10" s="577" customFormat="1">
      <c r="B284" s="585" t="s">
        <v>1176</v>
      </c>
      <c r="C284" s="1075" t="s">
        <v>1177</v>
      </c>
      <c r="D284" s="1075"/>
      <c r="E284" s="585" t="s">
        <v>1178</v>
      </c>
      <c r="F284" s="585" t="s">
        <v>1179</v>
      </c>
      <c r="G284" s="582"/>
      <c r="H284" s="582"/>
      <c r="I284" s="582"/>
      <c r="J284" s="582"/>
    </row>
    <row r="285" spans="2:10" s="577" customFormat="1">
      <c r="B285" s="618" t="s">
        <v>1227</v>
      </c>
      <c r="C285" s="1078" t="s">
        <v>1228</v>
      </c>
      <c r="D285" s="1078"/>
      <c r="E285" s="588" t="s">
        <v>691</v>
      </c>
      <c r="F285" s="588">
        <v>269.89999999999998</v>
      </c>
      <c r="G285" s="582"/>
      <c r="H285" s="582"/>
      <c r="I285" s="582"/>
      <c r="J285" s="582"/>
    </row>
    <row r="286" spans="2:10" s="577" customFormat="1">
      <c r="B286" s="636" t="s">
        <v>1246</v>
      </c>
      <c r="C286" s="1078" t="s">
        <v>1247</v>
      </c>
      <c r="D286" s="1078"/>
      <c r="E286" s="588" t="s">
        <v>691</v>
      </c>
      <c r="F286" s="588">
        <v>269.89999999999998</v>
      </c>
      <c r="G286" s="582"/>
      <c r="H286" s="582"/>
      <c r="I286" s="582"/>
      <c r="J286" s="582"/>
    </row>
    <row r="287" spans="2:10" s="577" customFormat="1" ht="28.5">
      <c r="B287" s="636" t="s">
        <v>1248</v>
      </c>
      <c r="C287" s="1078" t="s">
        <v>1185</v>
      </c>
      <c r="D287" s="1078"/>
      <c r="E287" s="588" t="s">
        <v>691</v>
      </c>
      <c r="F287" s="588">
        <v>266</v>
      </c>
      <c r="G287" s="582"/>
      <c r="H287" s="582"/>
      <c r="I287" s="582"/>
      <c r="J287" s="582"/>
    </row>
    <row r="288" spans="2:10" s="577" customFormat="1">
      <c r="B288" s="1101" t="s">
        <v>1186</v>
      </c>
      <c r="C288" s="1101"/>
      <c r="D288" s="1101"/>
      <c r="E288" s="1101"/>
      <c r="F288" s="590">
        <f>F287</f>
        <v>266</v>
      </c>
      <c r="G288" s="582"/>
      <c r="H288" s="582"/>
      <c r="I288" s="582"/>
      <c r="J288" s="582"/>
    </row>
    <row r="289" spans="2:10" s="577" customFormat="1">
      <c r="B289" s="582"/>
      <c r="C289" s="582"/>
      <c r="D289" s="582"/>
      <c r="E289" s="582"/>
      <c r="F289" s="582"/>
      <c r="G289" s="582"/>
      <c r="H289" s="582"/>
      <c r="I289" s="582"/>
      <c r="J289" s="582"/>
    </row>
    <row r="290" spans="2:10" s="577" customFormat="1">
      <c r="B290" s="585" t="s">
        <v>1187</v>
      </c>
      <c r="C290" s="585" t="s">
        <v>1178</v>
      </c>
      <c r="D290" s="585" t="s">
        <v>1188</v>
      </c>
      <c r="E290" s="585" t="s">
        <v>1189</v>
      </c>
      <c r="F290" s="585" t="s">
        <v>1190</v>
      </c>
      <c r="G290" s="585" t="s">
        <v>1191</v>
      </c>
      <c r="H290" s="585" t="s">
        <v>1192</v>
      </c>
      <c r="I290" s="585" t="s">
        <v>1179</v>
      </c>
      <c r="J290" s="585" t="s">
        <v>1193</v>
      </c>
    </row>
    <row r="291" spans="2:10" s="577" customFormat="1">
      <c r="B291" s="591" t="s">
        <v>1239</v>
      </c>
      <c r="C291" s="591" t="s">
        <v>1195</v>
      </c>
      <c r="D291" s="592">
        <v>6698</v>
      </c>
      <c r="E291" s="592">
        <v>1</v>
      </c>
      <c r="F291" s="593"/>
      <c r="G291" s="593"/>
      <c r="H291" s="593"/>
      <c r="I291" s="591">
        <v>21.76</v>
      </c>
      <c r="J291" s="593">
        <f>E291*I291</f>
        <v>21.76</v>
      </c>
    </row>
    <row r="292" spans="2:10" s="577" customFormat="1">
      <c r="B292" s="1080" t="s">
        <v>1196</v>
      </c>
      <c r="C292" s="1081"/>
      <c r="D292" s="1081"/>
      <c r="E292" s="1081"/>
      <c r="F292" s="1081"/>
      <c r="G292" s="1081"/>
      <c r="H292" s="1081"/>
      <c r="I292" s="1081"/>
      <c r="J292" s="623">
        <f>J291</f>
        <v>21.76</v>
      </c>
    </row>
    <row r="293" spans="2:10" s="577" customFormat="1">
      <c r="B293" s="582"/>
      <c r="C293" s="582"/>
      <c r="D293" s="582"/>
      <c r="E293" s="582"/>
      <c r="F293" s="582"/>
      <c r="G293" s="582"/>
      <c r="H293" s="582"/>
      <c r="I293" s="582"/>
      <c r="J293" s="582"/>
    </row>
    <row r="294" spans="2:10" s="577" customFormat="1">
      <c r="B294" s="585" t="s">
        <v>1197</v>
      </c>
      <c r="C294" s="585" t="s">
        <v>1178</v>
      </c>
      <c r="D294" s="585" t="s">
        <v>1188</v>
      </c>
      <c r="E294" s="585" t="s">
        <v>1189</v>
      </c>
      <c r="F294" s="585" t="s">
        <v>1190</v>
      </c>
      <c r="G294" s="585" t="s">
        <v>1191</v>
      </c>
      <c r="H294" s="585" t="s">
        <v>1192</v>
      </c>
      <c r="I294" s="585" t="s">
        <v>1179</v>
      </c>
      <c r="J294" s="585" t="s">
        <v>1193</v>
      </c>
    </row>
    <row r="295" spans="2:10" s="577" customFormat="1">
      <c r="B295" s="591" t="s">
        <v>1252</v>
      </c>
      <c r="C295" s="591" t="s">
        <v>1199</v>
      </c>
      <c r="D295" s="595" t="s">
        <v>1200</v>
      </c>
      <c r="E295" s="592">
        <v>1</v>
      </c>
      <c r="F295" s="593"/>
      <c r="G295" s="593"/>
      <c r="H295" s="593"/>
      <c r="I295" s="593">
        <f>F288</f>
        <v>266</v>
      </c>
      <c r="J295" s="593">
        <f>E295*I295</f>
        <v>266</v>
      </c>
    </row>
    <row r="296" spans="2:10" s="577" customFormat="1">
      <c r="B296" s="1080"/>
      <c r="C296" s="1081"/>
      <c r="D296" s="1081"/>
      <c r="E296" s="1081"/>
      <c r="F296" s="1081"/>
      <c r="G296" s="1081"/>
      <c r="H296" s="1081"/>
      <c r="I296" s="1081"/>
      <c r="J296" s="623">
        <f>J295</f>
        <v>266</v>
      </c>
    </row>
    <row r="297" spans="2:10" s="577" customFormat="1">
      <c r="B297" s="582"/>
      <c r="C297" s="582"/>
      <c r="D297" s="582"/>
      <c r="E297" s="582"/>
      <c r="F297" s="582"/>
      <c r="G297" s="582"/>
      <c r="H297" s="582"/>
      <c r="I297" s="582"/>
      <c r="J297" s="582"/>
    </row>
    <row r="298" spans="2:10" s="577" customFormat="1">
      <c r="B298" s="1088" t="s">
        <v>1201</v>
      </c>
      <c r="C298" s="1088"/>
      <c r="D298" s="1088"/>
      <c r="E298" s="1088"/>
      <c r="F298" s="1088"/>
      <c r="G298" s="582"/>
      <c r="H298" s="582"/>
      <c r="I298" s="582"/>
      <c r="J298" s="582"/>
    </row>
    <row r="299" spans="2:10" s="577" customFormat="1">
      <c r="B299" s="1089" t="s">
        <v>1202</v>
      </c>
      <c r="C299" s="1090"/>
      <c r="D299" s="1091"/>
      <c r="E299" s="596" t="s">
        <v>1203</v>
      </c>
      <c r="F299" s="596" t="s">
        <v>1204</v>
      </c>
      <c r="G299" s="582"/>
      <c r="H299" s="582"/>
      <c r="I299" s="582"/>
      <c r="J299" s="582"/>
    </row>
    <row r="300" spans="2:10" s="577" customFormat="1">
      <c r="B300" s="1092" t="s">
        <v>1205</v>
      </c>
      <c r="C300" s="1093"/>
      <c r="D300" s="1094"/>
      <c r="E300" s="1172">
        <v>128.33000000000001</v>
      </c>
      <c r="F300" s="598">
        <f>J292</f>
        <v>21.76</v>
      </c>
      <c r="G300" s="582"/>
      <c r="H300" s="582"/>
      <c r="I300" s="582"/>
      <c r="J300" s="582"/>
    </row>
    <row r="301" spans="2:10" s="577" customFormat="1">
      <c r="B301" s="1092" t="s">
        <v>1206</v>
      </c>
      <c r="C301" s="1093"/>
      <c r="D301" s="1094"/>
      <c r="E301" s="1173"/>
      <c r="F301" s="598">
        <f>J296</f>
        <v>266</v>
      </c>
      <c r="G301" s="582"/>
      <c r="H301" s="582"/>
      <c r="I301" s="582"/>
      <c r="J301" s="582"/>
    </row>
    <row r="302" spans="2:10" s="577" customFormat="1">
      <c r="B302" s="1092" t="s">
        <v>1207</v>
      </c>
      <c r="C302" s="1093"/>
      <c r="D302" s="1094"/>
      <c r="E302" s="1173"/>
      <c r="F302" s="598">
        <v>0</v>
      </c>
      <c r="G302" s="582"/>
      <c r="H302" s="582"/>
      <c r="I302" s="582"/>
      <c r="J302" s="582"/>
    </row>
    <row r="303" spans="2:10" s="577" customFormat="1">
      <c r="B303" s="1092" t="s">
        <v>1208</v>
      </c>
      <c r="C303" s="1093"/>
      <c r="D303" s="1094"/>
      <c r="E303" s="1173"/>
      <c r="F303" s="598">
        <v>1</v>
      </c>
      <c r="G303" s="582"/>
      <c r="H303" s="582"/>
      <c r="I303" s="582"/>
      <c r="J303" s="582"/>
    </row>
    <row r="304" spans="2:10" s="577" customFormat="1">
      <c r="B304" s="1092" t="s">
        <v>1209</v>
      </c>
      <c r="C304" s="1093"/>
      <c r="D304" s="1094"/>
      <c r="E304" s="1173"/>
      <c r="F304" s="598">
        <f>F300+F302</f>
        <v>21.76</v>
      </c>
      <c r="G304" s="582"/>
      <c r="H304" s="582"/>
      <c r="I304" s="582"/>
      <c r="J304" s="582"/>
    </row>
    <row r="305" spans="2:10" s="577" customFormat="1">
      <c r="B305" s="1092" t="s">
        <v>1210</v>
      </c>
      <c r="C305" s="1093"/>
      <c r="D305" s="1094"/>
      <c r="E305" s="1173"/>
      <c r="F305" s="598">
        <f>(F300/F303)+(F302/F303)</f>
        <v>21.76</v>
      </c>
      <c r="G305" s="582"/>
      <c r="H305" s="582"/>
      <c r="I305" s="582"/>
      <c r="J305" s="582"/>
    </row>
    <row r="306" spans="2:10" s="577" customFormat="1">
      <c r="B306" s="1092" t="s">
        <v>1211</v>
      </c>
      <c r="C306" s="1093"/>
      <c r="D306" s="1094"/>
      <c r="E306" s="1174"/>
      <c r="F306" s="598">
        <f>F301+F305</f>
        <v>287.76</v>
      </c>
      <c r="G306" s="582"/>
      <c r="H306" s="582"/>
      <c r="I306" s="582"/>
      <c r="J306" s="582"/>
    </row>
    <row r="307" spans="2:10" s="577" customFormat="1">
      <c r="B307" s="1092" t="s">
        <v>1212</v>
      </c>
      <c r="C307" s="1093"/>
      <c r="D307" s="1094"/>
      <c r="E307" s="1172">
        <v>0</v>
      </c>
      <c r="F307" s="598">
        <f>F306*(E307/100)</f>
        <v>0</v>
      </c>
      <c r="G307" s="582"/>
      <c r="H307" s="582"/>
      <c r="I307" s="582"/>
      <c r="J307" s="582"/>
    </row>
    <row r="308" spans="2:10" s="577" customFormat="1">
      <c r="B308" s="1095" t="s">
        <v>1213</v>
      </c>
      <c r="C308" s="1096"/>
      <c r="D308" s="1097"/>
      <c r="E308" s="1174"/>
      <c r="F308" s="600">
        <f>F306+F307</f>
        <v>287.76</v>
      </c>
      <c r="G308" s="582"/>
      <c r="H308" s="582"/>
      <c r="I308" s="582"/>
      <c r="J308" s="582"/>
    </row>
    <row r="309" spans="2:10" s="577" customFormat="1"/>
    <row r="310" spans="2:10" s="577" customFormat="1"/>
    <row r="311" spans="2:10" s="577" customFormat="1"/>
    <row r="312" spans="2:10" s="577" customFormat="1">
      <c r="B312" s="1074" t="s">
        <v>1253</v>
      </c>
      <c r="C312" s="1074"/>
      <c r="D312" s="1074"/>
      <c r="E312" s="1074"/>
      <c r="F312" s="1074"/>
    </row>
    <row r="313" spans="2:10" s="577" customFormat="1"/>
    <row r="314" spans="2:10" s="577" customFormat="1">
      <c r="B314" s="578" t="s">
        <v>1254</v>
      </c>
      <c r="C314" s="582"/>
      <c r="D314" s="582"/>
      <c r="E314" s="582"/>
      <c r="F314" s="582"/>
      <c r="G314" s="582"/>
      <c r="H314" s="582"/>
      <c r="I314" s="578" t="s">
        <v>1225</v>
      </c>
      <c r="J314" s="582"/>
    </row>
    <row r="315" spans="2:10" s="577" customFormat="1">
      <c r="B315" s="582" t="s">
        <v>1226</v>
      </c>
      <c r="C315" s="582"/>
      <c r="D315" s="582"/>
      <c r="E315" s="582"/>
      <c r="F315" s="582"/>
      <c r="G315" s="582"/>
      <c r="H315" s="582"/>
      <c r="I315" s="582"/>
      <c r="J315" s="582"/>
    </row>
    <row r="316" spans="2:10" s="577" customFormat="1">
      <c r="B316" s="582"/>
      <c r="C316" s="582"/>
      <c r="D316" s="582"/>
      <c r="E316" s="582"/>
      <c r="F316" s="582"/>
      <c r="G316" s="582"/>
      <c r="H316" s="582"/>
      <c r="I316" s="582"/>
      <c r="J316" s="582"/>
    </row>
    <row r="317" spans="2:10" s="577" customFormat="1">
      <c r="B317" s="583" t="s">
        <v>1175</v>
      </c>
      <c r="C317" s="583"/>
      <c r="D317" s="584"/>
      <c r="E317" s="584"/>
      <c r="F317" s="584"/>
      <c r="G317" s="582"/>
      <c r="H317" s="582"/>
      <c r="I317" s="582"/>
      <c r="J317" s="582"/>
    </row>
    <row r="318" spans="2:10" s="577" customFormat="1">
      <c r="B318" s="584"/>
      <c r="C318" s="584"/>
      <c r="D318" s="584"/>
      <c r="E318" s="584"/>
      <c r="F318" s="584"/>
      <c r="G318" s="582"/>
      <c r="H318" s="582"/>
      <c r="I318" s="582"/>
      <c r="J318" s="582"/>
    </row>
    <row r="319" spans="2:10" s="577" customFormat="1">
      <c r="B319" s="585" t="s">
        <v>1176</v>
      </c>
      <c r="C319" s="1075" t="s">
        <v>1177</v>
      </c>
      <c r="D319" s="1075"/>
      <c r="E319" s="585" t="s">
        <v>1178</v>
      </c>
      <c r="F319" s="585" t="s">
        <v>1179</v>
      </c>
      <c r="G319" s="582"/>
      <c r="H319" s="582"/>
      <c r="I319" s="582"/>
      <c r="J319" s="582"/>
    </row>
    <row r="320" spans="2:10" s="577" customFormat="1" ht="28.5">
      <c r="B320" s="587" t="s">
        <v>1180</v>
      </c>
      <c r="C320" s="1076" t="s">
        <v>1181</v>
      </c>
      <c r="D320" s="1076"/>
      <c r="E320" s="588" t="s">
        <v>691</v>
      </c>
      <c r="F320" s="588">
        <v>2.75</v>
      </c>
      <c r="G320" s="582"/>
      <c r="H320" s="582"/>
      <c r="I320" s="582"/>
      <c r="J320" s="582"/>
    </row>
    <row r="321" spans="2:10" s="577" customFormat="1" ht="28.5">
      <c r="B321" s="587" t="s">
        <v>1182</v>
      </c>
      <c r="C321" s="1077" t="s">
        <v>1183</v>
      </c>
      <c r="D321" s="1077"/>
      <c r="E321" s="588" t="s">
        <v>691</v>
      </c>
      <c r="F321" s="588">
        <v>2.73</v>
      </c>
      <c r="G321" s="582"/>
      <c r="H321" s="582"/>
      <c r="I321" s="582"/>
      <c r="J321" s="582"/>
    </row>
    <row r="322" spans="2:10" s="577" customFormat="1">
      <c r="B322" s="601" t="s">
        <v>1255</v>
      </c>
      <c r="C322" s="1078" t="s">
        <v>1228</v>
      </c>
      <c r="D322" s="1078"/>
      <c r="E322" s="588" t="s">
        <v>691</v>
      </c>
      <c r="F322" s="588">
        <v>3.2</v>
      </c>
      <c r="G322" s="582"/>
      <c r="H322" s="582"/>
      <c r="I322" s="582"/>
      <c r="J322" s="582"/>
    </row>
    <row r="323" spans="2:10" s="577" customFormat="1" ht="15.75">
      <c r="B323" s="1079" t="s">
        <v>1186</v>
      </c>
      <c r="C323" s="1079"/>
      <c r="D323" s="1079"/>
      <c r="E323" s="1079"/>
      <c r="F323" s="590">
        <f>F321</f>
        <v>2.73</v>
      </c>
      <c r="G323" s="582"/>
      <c r="H323" s="582"/>
      <c r="I323" s="582"/>
      <c r="J323" s="582"/>
    </row>
    <row r="324" spans="2:10" s="577" customFormat="1">
      <c r="B324" s="582"/>
      <c r="C324" s="582"/>
      <c r="D324" s="582"/>
      <c r="E324" s="582"/>
      <c r="F324" s="582"/>
      <c r="G324" s="582"/>
      <c r="H324" s="582"/>
      <c r="I324" s="582"/>
      <c r="J324" s="582"/>
    </row>
    <row r="325" spans="2:10" s="577" customFormat="1">
      <c r="B325" s="585" t="s">
        <v>1187</v>
      </c>
      <c r="C325" s="585" t="s">
        <v>1178</v>
      </c>
      <c r="D325" s="585" t="s">
        <v>1188</v>
      </c>
      <c r="E325" s="585" t="s">
        <v>1189</v>
      </c>
      <c r="F325" s="585" t="s">
        <v>1190</v>
      </c>
      <c r="G325" s="585" t="s">
        <v>1191</v>
      </c>
      <c r="H325" s="585" t="s">
        <v>1192</v>
      </c>
      <c r="I325" s="585" t="s">
        <v>1179</v>
      </c>
      <c r="J325" s="585" t="s">
        <v>1193</v>
      </c>
    </row>
    <row r="326" spans="2:10" s="577" customFormat="1">
      <c r="B326" s="601" t="s">
        <v>1256</v>
      </c>
      <c r="C326" s="591" t="s">
        <v>1195</v>
      </c>
      <c r="D326" s="592">
        <v>10101</v>
      </c>
      <c r="E326" s="615">
        <v>0.02</v>
      </c>
      <c r="F326" s="616"/>
      <c r="G326" s="616"/>
      <c r="H326" s="616"/>
      <c r="I326" s="593">
        <v>15.08</v>
      </c>
      <c r="J326" s="593">
        <f>E326*I326</f>
        <v>0.30160000000000003</v>
      </c>
    </row>
    <row r="327" spans="2:10" s="577" customFormat="1">
      <c r="B327" s="638" t="s">
        <v>1257</v>
      </c>
      <c r="C327" s="591" t="s">
        <v>1195</v>
      </c>
      <c r="D327" s="592">
        <v>10115</v>
      </c>
      <c r="E327" s="615">
        <v>0.02</v>
      </c>
      <c r="F327" s="616"/>
      <c r="G327" s="616"/>
      <c r="H327" s="616"/>
      <c r="I327" s="593">
        <v>17.850000000000001</v>
      </c>
      <c r="J327" s="593">
        <f>E327*I327</f>
        <v>0.35700000000000004</v>
      </c>
    </row>
    <row r="328" spans="2:10" s="577" customFormat="1">
      <c r="B328" s="1080" t="s">
        <v>1196</v>
      </c>
      <c r="C328" s="1081"/>
      <c r="D328" s="1081"/>
      <c r="E328" s="1081"/>
      <c r="F328" s="1081"/>
      <c r="G328" s="1081"/>
      <c r="H328" s="1081"/>
      <c r="I328" s="1082"/>
      <c r="J328" s="599">
        <f>SUM(J326:J327)</f>
        <v>0.65860000000000007</v>
      </c>
    </row>
    <row r="329" spans="2:10" s="577" customFormat="1">
      <c r="B329" s="582"/>
      <c r="C329" s="582"/>
      <c r="D329" s="582"/>
      <c r="E329" s="582"/>
      <c r="F329" s="582"/>
      <c r="G329" s="582"/>
      <c r="H329" s="582"/>
      <c r="I329" s="582"/>
      <c r="J329" s="582"/>
    </row>
    <row r="330" spans="2:10" s="577" customFormat="1">
      <c r="B330" s="585" t="s">
        <v>1197</v>
      </c>
      <c r="C330" s="585" t="s">
        <v>1178</v>
      </c>
      <c r="D330" s="585" t="s">
        <v>1188</v>
      </c>
      <c r="E330" s="585" t="s">
        <v>1189</v>
      </c>
      <c r="F330" s="585" t="s">
        <v>1190</v>
      </c>
      <c r="G330" s="585" t="s">
        <v>1191</v>
      </c>
      <c r="H330" s="585" t="s">
        <v>1192</v>
      </c>
      <c r="I330" s="585" t="s">
        <v>1179</v>
      </c>
      <c r="J330" s="585" t="s">
        <v>1193</v>
      </c>
    </row>
    <row r="331" spans="2:10" s="577" customFormat="1" ht="28.5">
      <c r="B331" s="587" t="s">
        <v>1258</v>
      </c>
      <c r="C331" s="591" t="s">
        <v>38</v>
      </c>
      <c r="D331" s="595" t="s">
        <v>1200</v>
      </c>
      <c r="E331" s="591">
        <v>1</v>
      </c>
      <c r="F331" s="593"/>
      <c r="G331" s="593"/>
      <c r="H331" s="593"/>
      <c r="I331" s="593">
        <f>F323</f>
        <v>2.73</v>
      </c>
      <c r="J331" s="593">
        <f>E331*I331</f>
        <v>2.73</v>
      </c>
    </row>
    <row r="332" spans="2:10" s="577" customFormat="1">
      <c r="B332" s="1080" t="s">
        <v>1196</v>
      </c>
      <c r="C332" s="1081"/>
      <c r="D332" s="1081"/>
      <c r="E332" s="1081"/>
      <c r="F332" s="1081"/>
      <c r="G332" s="1081"/>
      <c r="H332" s="1081"/>
      <c r="I332" s="1082"/>
      <c r="J332" s="599">
        <f>J331</f>
        <v>2.73</v>
      </c>
    </row>
    <row r="333" spans="2:10" s="577" customFormat="1">
      <c r="B333" s="582"/>
      <c r="C333" s="582"/>
      <c r="D333" s="582"/>
      <c r="E333" s="582"/>
      <c r="F333" s="582"/>
      <c r="G333" s="582"/>
      <c r="H333" s="582"/>
      <c r="I333" s="582"/>
      <c r="J333" s="582"/>
    </row>
    <row r="334" spans="2:10" s="577" customFormat="1">
      <c r="B334" s="1083" t="s">
        <v>1201</v>
      </c>
      <c r="C334" s="1083"/>
      <c r="D334" s="1083"/>
      <c r="E334" s="1083"/>
      <c r="F334" s="1083"/>
      <c r="G334" s="582"/>
      <c r="H334" s="582"/>
      <c r="I334" s="582"/>
      <c r="J334" s="582"/>
    </row>
    <row r="335" spans="2:10" s="577" customFormat="1">
      <c r="B335" s="1084" t="s">
        <v>1202</v>
      </c>
      <c r="C335" s="1084"/>
      <c r="D335" s="1084"/>
      <c r="E335" s="596" t="s">
        <v>1203</v>
      </c>
      <c r="F335" s="596" t="s">
        <v>1204</v>
      </c>
      <c r="G335" s="582"/>
      <c r="H335" s="582"/>
      <c r="I335" s="582"/>
      <c r="J335" s="582"/>
    </row>
    <row r="336" spans="2:10" s="577" customFormat="1">
      <c r="B336" s="1085" t="s">
        <v>1205</v>
      </c>
      <c r="C336" s="1085"/>
      <c r="D336" s="1085"/>
      <c r="E336" s="1171">
        <v>128.33000000000001</v>
      </c>
      <c r="F336" s="598">
        <f>J328</f>
        <v>0.65860000000000007</v>
      </c>
      <c r="G336" s="582"/>
      <c r="H336" s="582"/>
      <c r="I336" s="582"/>
      <c r="J336" s="582"/>
    </row>
    <row r="337" spans="2:10" s="577" customFormat="1">
      <c r="B337" s="1085" t="s">
        <v>1206</v>
      </c>
      <c r="C337" s="1085"/>
      <c r="D337" s="1085"/>
      <c r="E337" s="1171"/>
      <c r="F337" s="598">
        <f>J332</f>
        <v>2.73</v>
      </c>
      <c r="G337" s="582"/>
      <c r="H337" s="582"/>
      <c r="I337" s="582"/>
      <c r="J337" s="582"/>
    </row>
    <row r="338" spans="2:10" s="577" customFormat="1">
      <c r="B338" s="1085" t="s">
        <v>1207</v>
      </c>
      <c r="C338" s="1085"/>
      <c r="D338" s="1085"/>
      <c r="E338" s="1171"/>
      <c r="F338" s="598">
        <v>0</v>
      </c>
      <c r="G338" s="582"/>
      <c r="H338" s="582"/>
      <c r="I338" s="582"/>
      <c r="J338" s="582"/>
    </row>
    <row r="339" spans="2:10" s="577" customFormat="1">
      <c r="B339" s="1085" t="s">
        <v>1208</v>
      </c>
      <c r="C339" s="1085"/>
      <c r="D339" s="1085"/>
      <c r="E339" s="1171"/>
      <c r="F339" s="598">
        <v>1</v>
      </c>
      <c r="G339" s="582"/>
      <c r="H339" s="582"/>
      <c r="I339" s="582"/>
      <c r="J339" s="582"/>
    </row>
    <row r="340" spans="2:10" s="577" customFormat="1">
      <c r="B340" s="1085" t="s">
        <v>1209</v>
      </c>
      <c r="C340" s="1085"/>
      <c r="D340" s="1085"/>
      <c r="E340" s="1171"/>
      <c r="F340" s="598">
        <f>F336+F338</f>
        <v>0.65860000000000007</v>
      </c>
      <c r="G340" s="582"/>
      <c r="H340" s="582"/>
      <c r="I340" s="582"/>
      <c r="J340" s="582"/>
    </row>
    <row r="341" spans="2:10" s="577" customFormat="1">
      <c r="B341" s="1085" t="s">
        <v>1210</v>
      </c>
      <c r="C341" s="1085"/>
      <c r="D341" s="1085"/>
      <c r="E341" s="1171"/>
      <c r="F341" s="598">
        <f>(F336/F339)+(F338/F339)</f>
        <v>0.65860000000000007</v>
      </c>
      <c r="G341" s="582"/>
      <c r="H341" s="582"/>
      <c r="I341" s="582"/>
      <c r="J341" s="582"/>
    </row>
    <row r="342" spans="2:10" s="577" customFormat="1">
      <c r="B342" s="1085" t="s">
        <v>1211</v>
      </c>
      <c r="C342" s="1085"/>
      <c r="D342" s="1085"/>
      <c r="E342" s="1171"/>
      <c r="F342" s="598">
        <f>F337+F341</f>
        <v>3.3886000000000003</v>
      </c>
      <c r="G342" s="582"/>
      <c r="H342" s="582"/>
      <c r="I342" s="582"/>
      <c r="J342" s="582"/>
    </row>
    <row r="343" spans="2:10" s="577" customFormat="1">
      <c r="B343" s="1085" t="s">
        <v>1212</v>
      </c>
      <c r="C343" s="1085"/>
      <c r="D343" s="1085"/>
      <c r="E343" s="1171">
        <v>0</v>
      </c>
      <c r="F343" s="598">
        <f>F342*(E343/100)</f>
        <v>0</v>
      </c>
      <c r="G343" s="582"/>
      <c r="H343" s="582"/>
      <c r="I343" s="582"/>
      <c r="J343" s="582"/>
    </row>
    <row r="344" spans="2:10" s="577" customFormat="1">
      <c r="B344" s="1086" t="s">
        <v>1213</v>
      </c>
      <c r="C344" s="1086"/>
      <c r="D344" s="1086"/>
      <c r="E344" s="1171"/>
      <c r="F344" s="600">
        <f>F342+F343</f>
        <v>3.3886000000000003</v>
      </c>
      <c r="G344" s="582"/>
      <c r="H344" s="582"/>
      <c r="I344" s="582"/>
      <c r="J344" s="582"/>
    </row>
    <row r="345" spans="2:10" s="577" customFormat="1"/>
    <row r="346" spans="2:10" s="577" customFormat="1"/>
    <row r="347" spans="2:10" s="577" customFormat="1"/>
    <row r="348" spans="2:10" s="577" customFormat="1"/>
    <row r="349" spans="2:10" s="577" customFormat="1">
      <c r="B349" s="1074" t="s">
        <v>1259</v>
      </c>
      <c r="C349" s="1074"/>
      <c r="D349" s="1074"/>
      <c r="E349" s="1074"/>
      <c r="F349" s="1074"/>
    </row>
    <row r="350" spans="2:10" s="577" customFormat="1">
      <c r="B350" s="639"/>
      <c r="C350" s="639"/>
      <c r="D350" s="639"/>
      <c r="E350" s="639"/>
      <c r="F350" s="639"/>
      <c r="G350" s="640"/>
      <c r="H350" s="640"/>
      <c r="I350" s="640"/>
      <c r="J350" s="640"/>
    </row>
    <row r="351" spans="2:10" s="577" customFormat="1">
      <c r="B351" s="641"/>
      <c r="C351" s="641"/>
      <c r="D351" s="641"/>
      <c r="E351" s="641"/>
      <c r="F351" s="641"/>
    </row>
    <row r="352" spans="2:10" s="577" customFormat="1">
      <c r="B352" s="578" t="s">
        <v>1260</v>
      </c>
      <c r="C352" s="582"/>
      <c r="D352" s="582"/>
      <c r="E352" s="582"/>
      <c r="F352" s="582"/>
      <c r="G352" s="578" t="s">
        <v>1261</v>
      </c>
      <c r="I352" s="582"/>
      <c r="J352" s="582"/>
    </row>
    <row r="353" spans="2:10" s="577" customFormat="1">
      <c r="B353" s="582" t="s">
        <v>1262</v>
      </c>
      <c r="C353" s="582"/>
      <c r="D353" s="582"/>
      <c r="E353" s="582"/>
      <c r="F353" s="582"/>
      <c r="G353" s="582"/>
      <c r="H353" s="642"/>
      <c r="I353" s="582"/>
      <c r="J353" s="582"/>
    </row>
    <row r="354" spans="2:10" s="577" customFormat="1">
      <c r="B354" s="583" t="s">
        <v>1175</v>
      </c>
      <c r="C354" s="583"/>
      <c r="D354" s="584"/>
      <c r="E354" s="584"/>
      <c r="F354" s="584"/>
      <c r="G354" s="582"/>
      <c r="H354" s="582"/>
      <c r="I354" s="607"/>
      <c r="J354" s="582"/>
    </row>
    <row r="355" spans="2:10" s="577" customFormat="1">
      <c r="B355" s="584"/>
      <c r="C355" s="584"/>
      <c r="D355" s="584"/>
      <c r="E355" s="584"/>
      <c r="F355" s="584"/>
      <c r="G355" s="582"/>
      <c r="H355" s="582"/>
      <c r="I355" s="647"/>
      <c r="J355" s="648"/>
    </row>
    <row r="356" spans="2:10" s="577" customFormat="1">
      <c r="B356" s="585" t="s">
        <v>1176</v>
      </c>
      <c r="C356" s="1075" t="s">
        <v>1177</v>
      </c>
      <c r="D356" s="1075"/>
      <c r="E356" s="585" t="s">
        <v>1178</v>
      </c>
      <c r="F356" s="585" t="s">
        <v>1263</v>
      </c>
      <c r="G356" s="582"/>
      <c r="H356" s="582"/>
      <c r="I356" s="608"/>
      <c r="J356" s="648"/>
    </row>
    <row r="357" spans="2:10" s="577" customFormat="1" ht="28.5">
      <c r="B357" s="643" t="s">
        <v>1264</v>
      </c>
      <c r="C357" s="1078" t="s">
        <v>1265</v>
      </c>
      <c r="D357" s="1078"/>
      <c r="E357" s="588" t="s">
        <v>691</v>
      </c>
      <c r="F357" s="588">
        <v>42.9</v>
      </c>
      <c r="G357" s="644"/>
      <c r="H357" s="644"/>
      <c r="I357" s="649"/>
      <c r="J357" s="648"/>
    </row>
    <row r="358" spans="2:10" s="577" customFormat="1" ht="28.5">
      <c r="B358" s="636" t="s">
        <v>1266</v>
      </c>
      <c r="C358" s="1078" t="s">
        <v>1267</v>
      </c>
      <c r="D358" s="1078"/>
      <c r="E358" s="588" t="s">
        <v>691</v>
      </c>
      <c r="F358" s="588">
        <v>48.92</v>
      </c>
      <c r="G358" s="644"/>
      <c r="H358" s="644"/>
      <c r="I358" s="649"/>
      <c r="J358" s="648"/>
    </row>
    <row r="359" spans="2:10" s="577" customFormat="1" ht="28.5">
      <c r="B359" s="636" t="s">
        <v>1268</v>
      </c>
      <c r="C359" s="1078" t="s">
        <v>1269</v>
      </c>
      <c r="D359" s="1078"/>
      <c r="E359" s="588" t="s">
        <v>691</v>
      </c>
      <c r="F359" s="588">
        <v>42.49</v>
      </c>
      <c r="G359" s="644"/>
      <c r="H359" s="644"/>
      <c r="I359" s="649"/>
      <c r="J359" s="648"/>
    </row>
    <row r="360" spans="2:10" s="577" customFormat="1">
      <c r="B360" s="1101" t="s">
        <v>1186</v>
      </c>
      <c r="C360" s="1101"/>
      <c r="D360" s="1101"/>
      <c r="E360" s="1101"/>
      <c r="F360" s="590">
        <f>F359</f>
        <v>42.49</v>
      </c>
      <c r="G360" s="645"/>
      <c r="H360" s="645"/>
      <c r="I360" s="608"/>
      <c r="J360" s="648"/>
    </row>
    <row r="361" spans="2:10" s="577" customFormat="1">
      <c r="B361" s="582"/>
      <c r="C361" s="582"/>
      <c r="D361" s="582"/>
      <c r="E361" s="582"/>
      <c r="F361" s="582"/>
      <c r="G361" s="582"/>
      <c r="H361" s="582"/>
      <c r="I361" s="582"/>
      <c r="J361" s="582"/>
    </row>
    <row r="362" spans="2:10" s="577" customFormat="1">
      <c r="B362" s="585" t="s">
        <v>1187</v>
      </c>
      <c r="C362" s="585" t="s">
        <v>1178</v>
      </c>
      <c r="D362" s="585" t="s">
        <v>1188</v>
      </c>
      <c r="E362" s="585" t="s">
        <v>1189</v>
      </c>
      <c r="F362" s="585" t="s">
        <v>1190</v>
      </c>
      <c r="G362" s="585" t="s">
        <v>1191</v>
      </c>
      <c r="H362" s="585" t="s">
        <v>1192</v>
      </c>
      <c r="I362" s="585" t="s">
        <v>1179</v>
      </c>
      <c r="J362" s="585" t="s">
        <v>1193</v>
      </c>
    </row>
    <row r="363" spans="2:10" s="577" customFormat="1">
      <c r="B363" s="591" t="s">
        <v>1270</v>
      </c>
      <c r="C363" s="591" t="s">
        <v>1195</v>
      </c>
      <c r="D363" s="592">
        <v>88248</v>
      </c>
      <c r="E363" s="591">
        <v>0.16</v>
      </c>
      <c r="F363" s="593"/>
      <c r="G363" s="593"/>
      <c r="H363" s="593"/>
      <c r="I363" s="593">
        <v>14.77</v>
      </c>
      <c r="J363" s="593">
        <f>E363*I363</f>
        <v>2.3632</v>
      </c>
    </row>
    <row r="364" spans="2:10" s="577" customFormat="1">
      <c r="B364" s="591" t="s">
        <v>1271</v>
      </c>
      <c r="C364" s="591" t="s">
        <v>1195</v>
      </c>
      <c r="D364" s="592">
        <v>88267</v>
      </c>
      <c r="E364" s="591">
        <v>0.16</v>
      </c>
      <c r="F364" s="593"/>
      <c r="G364" s="593"/>
      <c r="H364" s="593"/>
      <c r="I364" s="593">
        <v>18.8</v>
      </c>
      <c r="J364" s="593">
        <f>E364*I364</f>
        <v>3.008</v>
      </c>
    </row>
    <row r="365" spans="2:10" s="577" customFormat="1">
      <c r="B365" s="1087" t="s">
        <v>1196</v>
      </c>
      <c r="C365" s="1087"/>
      <c r="D365" s="1087"/>
      <c r="E365" s="1087"/>
      <c r="F365" s="1087"/>
      <c r="G365" s="1087"/>
      <c r="H365" s="1087"/>
      <c r="I365" s="1087"/>
      <c r="J365" s="599">
        <f>J363+J364</f>
        <v>5.3712</v>
      </c>
    </row>
    <row r="366" spans="2:10" s="577" customFormat="1">
      <c r="B366" s="606"/>
      <c r="C366" s="606"/>
      <c r="D366" s="606"/>
      <c r="E366" s="606"/>
      <c r="F366" s="606"/>
      <c r="G366" s="606"/>
      <c r="H366" s="606"/>
      <c r="I366" s="606"/>
      <c r="J366" s="606"/>
    </row>
    <row r="367" spans="2:10" s="577" customFormat="1">
      <c r="B367" s="585" t="s">
        <v>1197</v>
      </c>
      <c r="C367" s="585" t="s">
        <v>1178</v>
      </c>
      <c r="D367" s="585" t="s">
        <v>1188</v>
      </c>
      <c r="E367" s="585" t="s">
        <v>1189</v>
      </c>
      <c r="F367" s="585" t="s">
        <v>1190</v>
      </c>
      <c r="G367" s="585" t="s">
        <v>1191</v>
      </c>
      <c r="H367" s="585" t="s">
        <v>1192</v>
      </c>
      <c r="I367" s="585" t="s">
        <v>1179</v>
      </c>
      <c r="J367" s="585" t="s">
        <v>1193</v>
      </c>
    </row>
    <row r="368" spans="2:10" s="577" customFormat="1">
      <c r="B368" s="591" t="s">
        <v>1263</v>
      </c>
      <c r="C368" s="591" t="s">
        <v>1199</v>
      </c>
      <c r="D368" s="595" t="s">
        <v>1200</v>
      </c>
      <c r="E368" s="646">
        <v>1</v>
      </c>
      <c r="F368" s="593"/>
      <c r="G368" s="593"/>
      <c r="H368" s="593"/>
      <c r="I368" s="593">
        <f>F360</f>
        <v>42.49</v>
      </c>
      <c r="J368" s="593">
        <f>E368*I368</f>
        <v>42.49</v>
      </c>
    </row>
    <row r="369" spans="2:10" s="577" customFormat="1">
      <c r="B369" s="1087" t="s">
        <v>1196</v>
      </c>
      <c r="C369" s="1087"/>
      <c r="D369" s="1087"/>
      <c r="E369" s="1087"/>
      <c r="F369" s="1087"/>
      <c r="G369" s="1087"/>
      <c r="H369" s="1087"/>
      <c r="I369" s="1087"/>
      <c r="J369" s="599">
        <f>SUM(J368:J368)</f>
        <v>42.49</v>
      </c>
    </row>
    <row r="370" spans="2:10" s="577" customFormat="1">
      <c r="B370" s="582"/>
      <c r="C370" s="582"/>
      <c r="D370" s="582"/>
      <c r="E370" s="582"/>
      <c r="F370" s="582"/>
      <c r="G370" s="582"/>
      <c r="H370" s="582"/>
      <c r="I370" s="582"/>
      <c r="J370" s="582"/>
    </row>
    <row r="371" spans="2:10" s="577" customFormat="1">
      <c r="B371" s="1088" t="s">
        <v>1201</v>
      </c>
      <c r="C371" s="1088"/>
      <c r="D371" s="1088"/>
      <c r="E371" s="1088"/>
      <c r="F371" s="1088"/>
      <c r="G371" s="582"/>
      <c r="H371" s="582"/>
      <c r="I371" s="582"/>
      <c r="J371" s="582"/>
    </row>
    <row r="372" spans="2:10" s="577" customFormat="1">
      <c r="B372" s="1089" t="s">
        <v>1202</v>
      </c>
      <c r="C372" s="1090"/>
      <c r="D372" s="1091"/>
      <c r="E372" s="596" t="s">
        <v>1203</v>
      </c>
      <c r="F372" s="596" t="s">
        <v>1204</v>
      </c>
      <c r="G372" s="582"/>
      <c r="H372" s="582"/>
      <c r="I372" s="582"/>
      <c r="J372" s="582"/>
    </row>
    <row r="373" spans="2:10" s="577" customFormat="1">
      <c r="B373" s="1092" t="s">
        <v>1205</v>
      </c>
      <c r="C373" s="1093"/>
      <c r="D373" s="1094"/>
      <c r="E373" s="1172">
        <v>128.33000000000001</v>
      </c>
      <c r="F373" s="598">
        <f>J365</f>
        <v>5.3712</v>
      </c>
      <c r="G373" s="582"/>
      <c r="H373" s="582"/>
      <c r="I373" s="582"/>
      <c r="J373" s="582"/>
    </row>
    <row r="374" spans="2:10" s="577" customFormat="1">
      <c r="B374" s="1092" t="s">
        <v>1206</v>
      </c>
      <c r="C374" s="1093"/>
      <c r="D374" s="1094"/>
      <c r="E374" s="1173"/>
      <c r="F374" s="598">
        <f>J369</f>
        <v>42.49</v>
      </c>
      <c r="G374" s="582"/>
      <c r="H374" s="582"/>
      <c r="I374" s="582"/>
      <c r="J374" s="582"/>
    </row>
    <row r="375" spans="2:10" s="577" customFormat="1">
      <c r="B375" s="1092" t="s">
        <v>1207</v>
      </c>
      <c r="C375" s="1093"/>
      <c r="D375" s="1094"/>
      <c r="E375" s="1173"/>
      <c r="F375" s="598">
        <v>0</v>
      </c>
      <c r="G375" s="582"/>
      <c r="H375" s="582"/>
      <c r="I375" s="582"/>
      <c r="J375" s="582"/>
    </row>
    <row r="376" spans="2:10" s="577" customFormat="1">
      <c r="B376" s="1092" t="s">
        <v>1208</v>
      </c>
      <c r="C376" s="1093"/>
      <c r="D376" s="1094"/>
      <c r="E376" s="1173"/>
      <c r="F376" s="598">
        <v>1</v>
      </c>
      <c r="G376" s="582"/>
      <c r="H376" s="582"/>
      <c r="I376" s="582"/>
      <c r="J376" s="582"/>
    </row>
    <row r="377" spans="2:10" s="577" customFormat="1">
      <c r="B377" s="1092" t="s">
        <v>1209</v>
      </c>
      <c r="C377" s="1093"/>
      <c r="D377" s="1094"/>
      <c r="E377" s="1173"/>
      <c r="F377" s="598">
        <f>F373+F375</f>
        <v>5.3712</v>
      </c>
      <c r="G377" s="582"/>
      <c r="H377" s="582"/>
      <c r="I377" s="582"/>
      <c r="J377" s="582"/>
    </row>
    <row r="378" spans="2:10" s="577" customFormat="1">
      <c r="B378" s="1092" t="s">
        <v>1210</v>
      </c>
      <c r="C378" s="1093"/>
      <c r="D378" s="1094"/>
      <c r="E378" s="1173"/>
      <c r="F378" s="598">
        <f>(F373/F376)+(F375/F376)</f>
        <v>5.3712</v>
      </c>
      <c r="G378" s="582"/>
      <c r="H378" s="582"/>
      <c r="I378" s="582"/>
      <c r="J378" s="582"/>
    </row>
    <row r="379" spans="2:10" s="577" customFormat="1">
      <c r="B379" s="1092" t="s">
        <v>1211</v>
      </c>
      <c r="C379" s="1093"/>
      <c r="D379" s="1094"/>
      <c r="E379" s="1174"/>
      <c r="F379" s="598">
        <f>F374+F378</f>
        <v>47.861200000000004</v>
      </c>
      <c r="G379" s="582"/>
      <c r="H379" s="582"/>
      <c r="I379" s="582"/>
      <c r="J379" s="582"/>
    </row>
    <row r="380" spans="2:10" s="577" customFormat="1">
      <c r="B380" s="1092" t="s">
        <v>1212</v>
      </c>
      <c r="C380" s="1093"/>
      <c r="D380" s="1094"/>
      <c r="E380" s="1172">
        <v>0</v>
      </c>
      <c r="F380" s="598">
        <f>F379*(E380/100)</f>
        <v>0</v>
      </c>
      <c r="G380" s="582"/>
      <c r="H380" s="582"/>
      <c r="I380" s="582"/>
      <c r="J380" s="582"/>
    </row>
    <row r="381" spans="2:10" s="577" customFormat="1">
      <c r="B381" s="1095" t="s">
        <v>1213</v>
      </c>
      <c r="C381" s="1096"/>
      <c r="D381" s="1097"/>
      <c r="E381" s="1174"/>
      <c r="F381" s="600">
        <f>F379+F380</f>
        <v>47.861200000000004</v>
      </c>
      <c r="G381" s="582"/>
      <c r="H381" s="582"/>
      <c r="I381" s="582"/>
      <c r="J381" s="582"/>
    </row>
    <row r="382" spans="2:10" s="577" customFormat="1"/>
    <row r="383" spans="2:10" s="577" customFormat="1"/>
    <row r="384" spans="2:10" s="577" customFormat="1"/>
    <row r="385" spans="2:10" s="578" customFormat="1">
      <c r="B385" s="578" t="s">
        <v>1272</v>
      </c>
      <c r="H385" s="578" t="s">
        <v>1261</v>
      </c>
    </row>
    <row r="386" spans="2:10" s="577" customFormat="1">
      <c r="B386" s="582" t="s">
        <v>1273</v>
      </c>
      <c r="C386" s="582"/>
      <c r="D386" s="582"/>
      <c r="E386" s="582"/>
      <c r="F386" s="582"/>
      <c r="G386" s="582"/>
      <c r="H386" s="642"/>
      <c r="I386" s="582"/>
      <c r="J386" s="582"/>
    </row>
    <row r="387" spans="2:10" s="577" customFormat="1">
      <c r="B387" s="582"/>
      <c r="C387" s="582"/>
      <c r="D387" s="582"/>
      <c r="E387" s="582"/>
      <c r="F387" s="582"/>
      <c r="G387" s="582"/>
      <c r="H387" s="582"/>
      <c r="I387" s="582"/>
      <c r="J387" s="582"/>
    </row>
    <row r="388" spans="2:10" s="577" customFormat="1">
      <c r="B388" s="583" t="s">
        <v>1175</v>
      </c>
      <c r="C388" s="583"/>
      <c r="D388" s="584"/>
      <c r="E388" s="584"/>
      <c r="F388" s="584"/>
      <c r="G388" s="582"/>
      <c r="H388" s="582"/>
      <c r="I388" s="582"/>
      <c r="J388" s="582"/>
    </row>
    <row r="389" spans="2:10" s="577" customFormat="1">
      <c r="B389" s="584"/>
      <c r="C389" s="584"/>
      <c r="D389" s="584"/>
      <c r="E389" s="584"/>
      <c r="F389" s="584"/>
      <c r="G389" s="582"/>
      <c r="H389" s="582"/>
      <c r="I389" s="582"/>
      <c r="J389" s="582"/>
    </row>
    <row r="390" spans="2:10" s="577" customFormat="1">
      <c r="B390" s="585" t="s">
        <v>1176</v>
      </c>
      <c r="C390" s="1098" t="s">
        <v>1177</v>
      </c>
      <c r="D390" s="1099"/>
      <c r="E390" s="585" t="s">
        <v>1178</v>
      </c>
      <c r="F390" s="585" t="s">
        <v>1179</v>
      </c>
      <c r="G390" s="582"/>
      <c r="H390" s="582"/>
      <c r="I390" s="582"/>
      <c r="J390" s="582"/>
    </row>
    <row r="391" spans="2:10" s="577" customFormat="1" ht="28.5">
      <c r="B391" s="643" t="s">
        <v>1264</v>
      </c>
      <c r="C391" s="1102" t="s">
        <v>1265</v>
      </c>
      <c r="D391" s="1102"/>
      <c r="E391" s="591" t="s">
        <v>691</v>
      </c>
      <c r="F391" s="591">
        <v>29.88</v>
      </c>
      <c r="G391" s="582"/>
      <c r="H391" s="582"/>
      <c r="I391" s="582"/>
      <c r="J391" s="582"/>
    </row>
    <row r="392" spans="2:10" s="577" customFormat="1" ht="28.5">
      <c r="B392" s="636" t="s">
        <v>1266</v>
      </c>
      <c r="C392" s="1102" t="s">
        <v>1267</v>
      </c>
      <c r="D392" s="1102"/>
      <c r="E392" s="591" t="s">
        <v>691</v>
      </c>
      <c r="F392" s="591">
        <v>32.5</v>
      </c>
      <c r="G392" s="582"/>
      <c r="H392" s="582"/>
      <c r="I392" s="582"/>
      <c r="J392" s="582"/>
    </row>
    <row r="393" spans="2:10" s="577" customFormat="1" ht="28.5">
      <c r="B393" s="636" t="s">
        <v>1268</v>
      </c>
      <c r="C393" s="1102" t="s">
        <v>1269</v>
      </c>
      <c r="D393" s="1102"/>
      <c r="E393" s="591" t="s">
        <v>691</v>
      </c>
      <c r="F393" s="591">
        <v>35.979999999999997</v>
      </c>
      <c r="G393" s="582"/>
      <c r="H393" s="582"/>
      <c r="I393" s="582"/>
      <c r="J393" s="582"/>
    </row>
    <row r="394" spans="2:10" s="577" customFormat="1">
      <c r="B394" s="582"/>
      <c r="C394" s="582"/>
      <c r="D394" s="582"/>
      <c r="E394" s="582"/>
      <c r="F394" s="582"/>
      <c r="G394" s="582"/>
      <c r="H394" s="582"/>
      <c r="I394" s="582"/>
      <c r="J394" s="582"/>
    </row>
    <row r="395" spans="2:10" s="577" customFormat="1">
      <c r="B395" s="585" t="s">
        <v>1187</v>
      </c>
      <c r="C395" s="585" t="s">
        <v>1178</v>
      </c>
      <c r="D395" s="585" t="s">
        <v>1188</v>
      </c>
      <c r="E395" s="585" t="s">
        <v>1189</v>
      </c>
      <c r="F395" s="585" t="s">
        <v>1190</v>
      </c>
      <c r="G395" s="585" t="s">
        <v>1191</v>
      </c>
      <c r="H395" s="585" t="s">
        <v>1192</v>
      </c>
      <c r="I395" s="585" t="s">
        <v>1179</v>
      </c>
      <c r="J395" s="585" t="s">
        <v>1193</v>
      </c>
    </row>
    <row r="396" spans="2:10" s="577" customFormat="1">
      <c r="B396" s="591" t="s">
        <v>1274</v>
      </c>
      <c r="C396" s="591" t="s">
        <v>1195</v>
      </c>
      <c r="D396" s="592">
        <v>10101</v>
      </c>
      <c r="E396" s="591">
        <v>0.1</v>
      </c>
      <c r="F396" s="593"/>
      <c r="G396" s="593"/>
      <c r="H396" s="593"/>
      <c r="I396" s="593">
        <v>15.08</v>
      </c>
      <c r="J396" s="593">
        <f>E396*I396</f>
        <v>1.508</v>
      </c>
    </row>
    <row r="397" spans="2:10" s="577" customFormat="1">
      <c r="B397" s="591" t="s">
        <v>1275</v>
      </c>
      <c r="C397" s="591" t="s">
        <v>1195</v>
      </c>
      <c r="D397" s="592">
        <v>10118</v>
      </c>
      <c r="E397" s="591">
        <v>0.1</v>
      </c>
      <c r="F397" s="593"/>
      <c r="G397" s="593"/>
      <c r="H397" s="593"/>
      <c r="I397" s="593">
        <v>17.850000000000001</v>
      </c>
      <c r="J397" s="593">
        <f>E397*I397</f>
        <v>1.7850000000000001</v>
      </c>
    </row>
    <row r="398" spans="2:10" s="577" customFormat="1">
      <c r="B398" s="1087" t="s">
        <v>1196</v>
      </c>
      <c r="C398" s="1087"/>
      <c r="D398" s="1087"/>
      <c r="E398" s="1087"/>
      <c r="F398" s="1087"/>
      <c r="G398" s="1087"/>
      <c r="H398" s="1087"/>
      <c r="I398" s="1087"/>
      <c r="J398" s="599">
        <f>J396+J397</f>
        <v>3.2930000000000001</v>
      </c>
    </row>
    <row r="399" spans="2:10" s="577" customFormat="1">
      <c r="B399" s="606"/>
      <c r="C399" s="606"/>
      <c r="D399" s="606"/>
      <c r="E399" s="606"/>
      <c r="F399" s="606"/>
      <c r="G399" s="606"/>
      <c r="H399" s="606"/>
      <c r="I399" s="606"/>
      <c r="J399" s="606"/>
    </row>
    <row r="400" spans="2:10" s="577" customFormat="1">
      <c r="B400" s="585" t="s">
        <v>1197</v>
      </c>
      <c r="C400" s="585" t="s">
        <v>1178</v>
      </c>
      <c r="D400" s="585" t="s">
        <v>1188</v>
      </c>
      <c r="E400" s="585" t="s">
        <v>1189</v>
      </c>
      <c r="F400" s="585" t="s">
        <v>1190</v>
      </c>
      <c r="G400" s="585" t="s">
        <v>1191</v>
      </c>
      <c r="H400" s="585" t="s">
        <v>1192</v>
      </c>
      <c r="I400" s="585" t="s">
        <v>1179</v>
      </c>
      <c r="J400" s="585" t="s">
        <v>1193</v>
      </c>
    </row>
    <row r="401" spans="2:10" s="577" customFormat="1" ht="42.75">
      <c r="B401" s="650" t="s">
        <v>1276</v>
      </c>
      <c r="C401" s="588" t="s">
        <v>1199</v>
      </c>
      <c r="D401" s="602" t="s">
        <v>1200</v>
      </c>
      <c r="E401" s="651">
        <v>1</v>
      </c>
      <c r="F401" s="603"/>
      <c r="G401" s="603"/>
      <c r="H401" s="603"/>
      <c r="I401" s="603">
        <f>SMALL(F391:F393,1)</f>
        <v>29.88</v>
      </c>
      <c r="J401" s="603">
        <f>E401*I401</f>
        <v>29.88</v>
      </c>
    </row>
    <row r="402" spans="2:10" s="577" customFormat="1">
      <c r="B402" s="599" t="s">
        <v>1196</v>
      </c>
      <c r="C402" s="599"/>
      <c r="D402" s="599"/>
      <c r="E402" s="599"/>
      <c r="F402" s="599"/>
      <c r="G402" s="599"/>
      <c r="H402" s="599"/>
      <c r="I402" s="599"/>
      <c r="J402" s="599">
        <f>J401</f>
        <v>29.88</v>
      </c>
    </row>
    <row r="403" spans="2:10" s="577" customFormat="1">
      <c r="B403" s="582"/>
      <c r="C403" s="582"/>
      <c r="D403" s="582"/>
      <c r="E403" s="582"/>
      <c r="F403" s="582"/>
      <c r="G403" s="582"/>
      <c r="H403" s="582"/>
      <c r="I403" s="582"/>
      <c r="J403" s="582"/>
    </row>
    <row r="404" spans="2:10" s="577" customFormat="1">
      <c r="B404" s="1088" t="s">
        <v>1201</v>
      </c>
      <c r="C404" s="1088"/>
      <c r="D404" s="1088"/>
      <c r="E404" s="1088"/>
      <c r="F404" s="1088"/>
      <c r="G404" s="582"/>
      <c r="H404" s="582"/>
      <c r="I404" s="582"/>
      <c r="J404" s="582"/>
    </row>
    <row r="405" spans="2:10" s="577" customFormat="1">
      <c r="B405" s="1089" t="s">
        <v>1202</v>
      </c>
      <c r="C405" s="1090"/>
      <c r="D405" s="1091"/>
      <c r="E405" s="596" t="s">
        <v>1203</v>
      </c>
      <c r="F405" s="596" t="s">
        <v>1204</v>
      </c>
      <c r="G405" s="582"/>
      <c r="H405" s="582"/>
      <c r="I405" s="582"/>
      <c r="J405" s="582"/>
    </row>
    <row r="406" spans="2:10" s="577" customFormat="1">
      <c r="B406" s="1092" t="s">
        <v>1205</v>
      </c>
      <c r="C406" s="1093"/>
      <c r="D406" s="1094"/>
      <c r="E406" s="1172">
        <v>128.33000000000001</v>
      </c>
      <c r="F406" s="598">
        <f>J398</f>
        <v>3.2930000000000001</v>
      </c>
      <c r="G406" s="582"/>
      <c r="H406" s="582"/>
      <c r="I406" s="582"/>
      <c r="J406" s="582"/>
    </row>
    <row r="407" spans="2:10" s="577" customFormat="1">
      <c r="B407" s="1092" t="s">
        <v>1206</v>
      </c>
      <c r="C407" s="1093"/>
      <c r="D407" s="1094"/>
      <c r="E407" s="1173"/>
      <c r="F407" s="598">
        <f>J402</f>
        <v>29.88</v>
      </c>
      <c r="G407" s="582"/>
      <c r="H407" s="582"/>
      <c r="I407" s="582"/>
      <c r="J407" s="582"/>
    </row>
    <row r="408" spans="2:10" s="577" customFormat="1">
      <c r="B408" s="1092" t="s">
        <v>1207</v>
      </c>
      <c r="C408" s="1093"/>
      <c r="D408" s="1094"/>
      <c r="E408" s="1173"/>
      <c r="F408" s="598">
        <v>0</v>
      </c>
      <c r="G408" s="582"/>
      <c r="H408" s="582"/>
      <c r="I408" s="582"/>
      <c r="J408" s="582"/>
    </row>
    <row r="409" spans="2:10" s="577" customFormat="1">
      <c r="B409" s="1092" t="s">
        <v>1208</v>
      </c>
      <c r="C409" s="1093"/>
      <c r="D409" s="1094"/>
      <c r="E409" s="1173"/>
      <c r="F409" s="598">
        <v>1</v>
      </c>
      <c r="G409" s="582"/>
      <c r="H409" s="582"/>
      <c r="I409" s="582"/>
      <c r="J409" s="582"/>
    </row>
    <row r="410" spans="2:10" s="577" customFormat="1">
      <c r="B410" s="1092" t="s">
        <v>1209</v>
      </c>
      <c r="C410" s="1093"/>
      <c r="D410" s="1094"/>
      <c r="E410" s="1173"/>
      <c r="F410" s="598">
        <f>F406+F408</f>
        <v>3.2930000000000001</v>
      </c>
      <c r="G410" s="582"/>
      <c r="H410" s="582"/>
      <c r="I410" s="582"/>
      <c r="J410" s="582"/>
    </row>
    <row r="411" spans="2:10" s="577" customFormat="1">
      <c r="B411" s="1092" t="s">
        <v>1210</v>
      </c>
      <c r="C411" s="1093"/>
      <c r="D411" s="1094"/>
      <c r="E411" s="1173"/>
      <c r="F411" s="598">
        <f>(F406/F409)+(F408/F409)</f>
        <v>3.2930000000000001</v>
      </c>
      <c r="G411" s="582"/>
      <c r="H411" s="582"/>
      <c r="I411" s="582"/>
      <c r="J411" s="582"/>
    </row>
    <row r="412" spans="2:10" s="577" customFormat="1">
      <c r="B412" s="1092" t="s">
        <v>1211</v>
      </c>
      <c r="C412" s="1093"/>
      <c r="D412" s="1094"/>
      <c r="E412" s="1174"/>
      <c r="F412" s="598">
        <f>F407+F411</f>
        <v>33.173000000000002</v>
      </c>
      <c r="G412" s="582"/>
      <c r="H412" s="582"/>
      <c r="I412" s="582"/>
      <c r="J412" s="582"/>
    </row>
    <row r="413" spans="2:10" s="577" customFormat="1">
      <c r="B413" s="1092" t="s">
        <v>1212</v>
      </c>
      <c r="C413" s="1093"/>
      <c r="D413" s="1094"/>
      <c r="E413" s="1172">
        <v>0</v>
      </c>
      <c r="F413" s="598">
        <f>F412*(E413/100)</f>
        <v>0</v>
      </c>
      <c r="G413" s="582"/>
      <c r="H413" s="582"/>
      <c r="I413" s="582"/>
      <c r="J413" s="582"/>
    </row>
    <row r="414" spans="2:10" s="577" customFormat="1">
      <c r="B414" s="1095" t="s">
        <v>1213</v>
      </c>
      <c r="C414" s="1096"/>
      <c r="D414" s="1097"/>
      <c r="E414" s="1174"/>
      <c r="F414" s="600">
        <f>F412+F413</f>
        <v>33.173000000000002</v>
      </c>
      <c r="G414" s="582"/>
      <c r="H414" s="582"/>
      <c r="I414" s="582"/>
      <c r="J414" s="582"/>
    </row>
    <row r="415" spans="2:10" s="577" customFormat="1"/>
    <row r="416" spans="2:10" s="577" customFormat="1"/>
    <row r="417" spans="2:10" s="577" customFormat="1"/>
    <row r="418" spans="2:10" s="577" customFormat="1"/>
    <row r="419" spans="2:10" s="577" customFormat="1">
      <c r="B419" s="578" t="s">
        <v>1277</v>
      </c>
      <c r="C419" s="582"/>
      <c r="D419" s="582"/>
      <c r="E419" s="582"/>
      <c r="F419" s="582"/>
      <c r="G419" s="582"/>
      <c r="H419" s="578" t="s">
        <v>1261</v>
      </c>
      <c r="I419" s="582"/>
      <c r="J419" s="582"/>
    </row>
    <row r="420" spans="2:10" s="577" customFormat="1">
      <c r="B420" s="582" t="s">
        <v>1278</v>
      </c>
      <c r="C420" s="582"/>
      <c r="D420" s="582"/>
      <c r="E420" s="582"/>
      <c r="F420" s="582"/>
      <c r="G420" s="582"/>
      <c r="H420" s="642"/>
      <c r="I420" s="582"/>
      <c r="J420" s="582"/>
    </row>
    <row r="421" spans="2:10" s="577" customFormat="1">
      <c r="B421" s="582"/>
      <c r="C421" s="582"/>
      <c r="D421" s="582"/>
      <c r="E421" s="582"/>
      <c r="F421" s="582"/>
      <c r="G421" s="652"/>
      <c r="H421" s="652"/>
      <c r="I421" s="652"/>
      <c r="J421" s="582"/>
    </row>
    <row r="422" spans="2:10" s="577" customFormat="1">
      <c r="B422" s="583" t="s">
        <v>1175</v>
      </c>
      <c r="C422" s="583"/>
      <c r="D422" s="584"/>
      <c r="E422" s="584"/>
      <c r="F422" s="653"/>
      <c r="G422" s="652"/>
      <c r="H422" s="652"/>
      <c r="I422" s="652"/>
      <c r="J422" s="582"/>
    </row>
    <row r="423" spans="2:10" s="577" customFormat="1">
      <c r="B423" s="584"/>
      <c r="C423" s="584"/>
      <c r="D423" s="584"/>
      <c r="E423" s="584"/>
      <c r="F423" s="584"/>
      <c r="G423" s="652"/>
      <c r="H423" s="652"/>
      <c r="I423" s="652"/>
      <c r="J423" s="582"/>
    </row>
    <row r="424" spans="2:10" s="577" customFormat="1" ht="45">
      <c r="B424" s="585" t="s">
        <v>1176</v>
      </c>
      <c r="C424" s="1075" t="s">
        <v>1177</v>
      </c>
      <c r="D424" s="1075"/>
      <c r="E424" s="585" t="s">
        <v>1178</v>
      </c>
      <c r="F424" s="654" t="s">
        <v>1279</v>
      </c>
      <c r="G424" s="608"/>
      <c r="H424" s="608"/>
      <c r="I424" s="608"/>
      <c r="J424" s="582"/>
    </row>
    <row r="425" spans="2:10" s="577" customFormat="1" ht="30">
      <c r="B425" s="655" t="s">
        <v>1280</v>
      </c>
      <c r="C425" s="1078" t="s">
        <v>1281</v>
      </c>
      <c r="D425" s="1078"/>
      <c r="E425" s="588" t="s">
        <v>691</v>
      </c>
      <c r="F425" s="656">
        <v>80</v>
      </c>
      <c r="G425" s="657"/>
      <c r="H425" s="657"/>
      <c r="I425" s="657"/>
      <c r="J425" s="582"/>
    </row>
    <row r="426" spans="2:10" s="577" customFormat="1">
      <c r="B426" s="658" t="s">
        <v>1282</v>
      </c>
      <c r="C426" s="1077" t="s">
        <v>1283</v>
      </c>
      <c r="D426" s="1077"/>
      <c r="E426" s="588" t="s">
        <v>691</v>
      </c>
      <c r="F426" s="659">
        <v>76</v>
      </c>
      <c r="G426" s="660"/>
      <c r="H426" s="660"/>
      <c r="I426" s="660"/>
      <c r="J426" s="582"/>
    </row>
    <row r="427" spans="2:10" s="577" customFormat="1">
      <c r="B427" s="661" t="s">
        <v>1284</v>
      </c>
      <c r="C427" s="1078" t="s">
        <v>1285</v>
      </c>
      <c r="D427" s="1078"/>
      <c r="E427" s="588" t="s">
        <v>691</v>
      </c>
      <c r="F427" s="656">
        <v>72</v>
      </c>
      <c r="G427" s="657"/>
      <c r="H427" s="657"/>
      <c r="I427" s="657"/>
      <c r="J427" s="582"/>
    </row>
    <row r="428" spans="2:10" s="577" customFormat="1">
      <c r="B428" s="1103" t="s">
        <v>1186</v>
      </c>
      <c r="C428" s="1100"/>
      <c r="D428" s="1100"/>
      <c r="E428" s="1104"/>
      <c r="F428" s="662">
        <f>F427</f>
        <v>72</v>
      </c>
      <c r="G428" s="663"/>
      <c r="H428" s="663"/>
      <c r="I428" s="663"/>
      <c r="J428" s="582"/>
    </row>
    <row r="429" spans="2:10" s="577" customFormat="1">
      <c r="B429" s="582"/>
      <c r="C429" s="582"/>
      <c r="D429" s="582"/>
      <c r="E429" s="582"/>
      <c r="F429" s="582"/>
      <c r="G429" s="582"/>
      <c r="H429" s="582"/>
      <c r="I429" s="582"/>
      <c r="J429" s="582"/>
    </row>
    <row r="430" spans="2:10" s="577" customFormat="1">
      <c r="B430" s="585" t="s">
        <v>1187</v>
      </c>
      <c r="C430" s="585" t="s">
        <v>1178</v>
      </c>
      <c r="D430" s="585" t="s">
        <v>1188</v>
      </c>
      <c r="E430" s="585" t="s">
        <v>1189</v>
      </c>
      <c r="F430" s="585" t="s">
        <v>1190</v>
      </c>
      <c r="G430" s="585" t="s">
        <v>1191</v>
      </c>
      <c r="H430" s="585" t="s">
        <v>1192</v>
      </c>
      <c r="I430" s="585" t="s">
        <v>1179</v>
      </c>
      <c r="J430" s="585" t="s">
        <v>1193</v>
      </c>
    </row>
    <row r="431" spans="2:10" s="577" customFormat="1">
      <c r="B431" s="591" t="s">
        <v>1274</v>
      </c>
      <c r="C431" s="591" t="s">
        <v>1195</v>
      </c>
      <c r="D431" s="592">
        <v>10101</v>
      </c>
      <c r="E431" s="591">
        <v>0.4</v>
      </c>
      <c r="F431" s="593"/>
      <c r="G431" s="593"/>
      <c r="H431" s="593"/>
      <c r="I431" s="593">
        <v>15.08</v>
      </c>
      <c r="J431" s="593">
        <f>E431*I431</f>
        <v>6.032</v>
      </c>
    </row>
    <row r="432" spans="2:10" s="577" customFormat="1">
      <c r="B432" s="591" t="s">
        <v>1286</v>
      </c>
      <c r="C432" s="591" t="s">
        <v>1195</v>
      </c>
      <c r="D432" s="592">
        <v>10115</v>
      </c>
      <c r="E432" s="591">
        <v>0.4</v>
      </c>
      <c r="F432" s="593"/>
      <c r="G432" s="593"/>
      <c r="H432" s="593"/>
      <c r="I432" s="593">
        <v>17.850000000000001</v>
      </c>
      <c r="J432" s="593">
        <f>E432*I432</f>
        <v>7.1400000000000006</v>
      </c>
    </row>
    <row r="433" spans="2:10" s="577" customFormat="1">
      <c r="B433" s="1087" t="s">
        <v>1196</v>
      </c>
      <c r="C433" s="1087"/>
      <c r="D433" s="1087"/>
      <c r="E433" s="1087"/>
      <c r="F433" s="1087"/>
      <c r="G433" s="1087"/>
      <c r="H433" s="1087"/>
      <c r="I433" s="1087"/>
      <c r="J433" s="599">
        <f>J431+J432</f>
        <v>13.172000000000001</v>
      </c>
    </row>
    <row r="434" spans="2:10" s="577" customFormat="1">
      <c r="B434" s="606"/>
      <c r="C434" s="606"/>
      <c r="D434" s="606"/>
      <c r="E434" s="606"/>
      <c r="F434" s="606"/>
      <c r="G434" s="606"/>
      <c r="H434" s="606"/>
      <c r="I434" s="606"/>
      <c r="J434" s="606"/>
    </row>
    <row r="435" spans="2:10" s="577" customFormat="1">
      <c r="B435" s="585" t="s">
        <v>1197</v>
      </c>
      <c r="C435" s="585" t="s">
        <v>1178</v>
      </c>
      <c r="D435" s="585" t="s">
        <v>1188</v>
      </c>
      <c r="E435" s="585" t="s">
        <v>1189</v>
      </c>
      <c r="F435" s="585" t="s">
        <v>1190</v>
      </c>
      <c r="G435" s="585" t="s">
        <v>1191</v>
      </c>
      <c r="H435" s="585" t="s">
        <v>1192</v>
      </c>
      <c r="I435" s="585" t="s">
        <v>1179</v>
      </c>
      <c r="J435" s="585" t="s">
        <v>1193</v>
      </c>
    </row>
    <row r="436" spans="2:10" s="577" customFormat="1" ht="28.5" customHeight="1">
      <c r="B436" s="1157" t="s">
        <v>1287</v>
      </c>
      <c r="C436" s="1157" t="s">
        <v>1199</v>
      </c>
      <c r="D436" s="1165" t="s">
        <v>1200</v>
      </c>
      <c r="E436" s="1175">
        <v>1</v>
      </c>
      <c r="F436" s="1185"/>
      <c r="G436" s="1185"/>
      <c r="H436" s="1185"/>
      <c r="I436" s="1157">
        <f>F428</f>
        <v>72</v>
      </c>
      <c r="J436" s="1157">
        <f>E436*I436</f>
        <v>72</v>
      </c>
    </row>
    <row r="437" spans="2:10" s="577" customFormat="1" ht="3.75" customHeight="1">
      <c r="B437" s="1158"/>
      <c r="C437" s="1158"/>
      <c r="D437" s="1166"/>
      <c r="E437" s="1176"/>
      <c r="F437" s="1186"/>
      <c r="G437" s="1186"/>
      <c r="H437" s="1186"/>
      <c r="I437" s="1158"/>
      <c r="J437" s="1158"/>
    </row>
    <row r="438" spans="2:10" s="577" customFormat="1">
      <c r="B438" s="1105" t="s">
        <v>1288</v>
      </c>
      <c r="C438" s="1105"/>
      <c r="D438" s="1105"/>
      <c r="E438" s="1105"/>
      <c r="F438" s="1105"/>
      <c r="G438" s="1105"/>
      <c r="H438" s="1105"/>
      <c r="I438" s="1105"/>
      <c r="J438" s="599">
        <f>SUM(J436:J437)</f>
        <v>72</v>
      </c>
    </row>
    <row r="439" spans="2:10" s="577" customFormat="1">
      <c r="B439" s="582"/>
      <c r="C439" s="582"/>
      <c r="D439" s="582"/>
      <c r="E439" s="582"/>
      <c r="F439" s="582"/>
      <c r="G439" s="582"/>
      <c r="H439" s="582"/>
      <c r="I439" s="582"/>
      <c r="J439" s="582"/>
    </row>
    <row r="440" spans="2:10" s="577" customFormat="1">
      <c r="B440" s="1088" t="s">
        <v>1201</v>
      </c>
      <c r="C440" s="1088"/>
      <c r="D440" s="1088"/>
      <c r="E440" s="1088"/>
      <c r="F440" s="1088"/>
      <c r="G440" s="582"/>
      <c r="H440" s="582"/>
      <c r="I440" s="582"/>
      <c r="J440" s="582"/>
    </row>
    <row r="441" spans="2:10" s="577" customFormat="1">
      <c r="B441" s="1089" t="s">
        <v>1202</v>
      </c>
      <c r="C441" s="1090"/>
      <c r="D441" s="1091"/>
      <c r="E441" s="596" t="s">
        <v>1203</v>
      </c>
      <c r="F441" s="596" t="s">
        <v>1204</v>
      </c>
      <c r="G441" s="582"/>
      <c r="H441" s="582"/>
      <c r="I441" s="582"/>
      <c r="J441" s="582"/>
    </row>
    <row r="442" spans="2:10" s="577" customFormat="1">
      <c r="B442" s="1092" t="s">
        <v>1205</v>
      </c>
      <c r="C442" s="1093"/>
      <c r="D442" s="1094"/>
      <c r="E442" s="1172">
        <v>128.33000000000001</v>
      </c>
      <c r="F442" s="598">
        <f>J433</f>
        <v>13.172000000000001</v>
      </c>
      <c r="G442" s="582"/>
      <c r="H442" s="582"/>
      <c r="I442" s="582"/>
      <c r="J442" s="582"/>
    </row>
    <row r="443" spans="2:10" s="577" customFormat="1">
      <c r="B443" s="1092" t="s">
        <v>1206</v>
      </c>
      <c r="C443" s="1093"/>
      <c r="D443" s="1094"/>
      <c r="E443" s="1173"/>
      <c r="F443" s="598">
        <f>J438</f>
        <v>72</v>
      </c>
      <c r="G443" s="582"/>
      <c r="H443" s="582"/>
      <c r="I443" s="582"/>
      <c r="J443" s="582"/>
    </row>
    <row r="444" spans="2:10" s="577" customFormat="1">
      <c r="B444" s="1092" t="s">
        <v>1207</v>
      </c>
      <c r="C444" s="1093"/>
      <c r="D444" s="1094"/>
      <c r="E444" s="1173"/>
      <c r="F444" s="598">
        <v>0</v>
      </c>
      <c r="G444" s="582"/>
      <c r="H444" s="582"/>
      <c r="I444" s="582"/>
      <c r="J444" s="582"/>
    </row>
    <row r="445" spans="2:10" s="577" customFormat="1">
      <c r="B445" s="1092" t="s">
        <v>1208</v>
      </c>
      <c r="C445" s="1093"/>
      <c r="D445" s="1094"/>
      <c r="E445" s="1173"/>
      <c r="F445" s="598">
        <v>1</v>
      </c>
      <c r="G445" s="582"/>
      <c r="H445" s="582"/>
      <c r="I445" s="582"/>
      <c r="J445" s="582"/>
    </row>
    <row r="446" spans="2:10" s="577" customFormat="1">
      <c r="B446" s="1092" t="s">
        <v>1209</v>
      </c>
      <c r="C446" s="1093"/>
      <c r="D446" s="1094"/>
      <c r="E446" s="1173"/>
      <c r="F446" s="598">
        <f>F442+F444</f>
        <v>13.172000000000001</v>
      </c>
      <c r="G446" s="582"/>
      <c r="H446" s="582"/>
      <c r="I446" s="582"/>
      <c r="J446" s="582"/>
    </row>
    <row r="447" spans="2:10" s="577" customFormat="1">
      <c r="B447" s="1092" t="s">
        <v>1210</v>
      </c>
      <c r="C447" s="1093"/>
      <c r="D447" s="1094"/>
      <c r="E447" s="1173"/>
      <c r="F447" s="598">
        <f>(F442/F445)+(F444/F445)</f>
        <v>13.172000000000001</v>
      </c>
      <c r="G447" s="582"/>
      <c r="H447" s="582"/>
      <c r="I447" s="582"/>
      <c r="J447" s="582"/>
    </row>
    <row r="448" spans="2:10" s="577" customFormat="1">
      <c r="B448" s="1092" t="s">
        <v>1211</v>
      </c>
      <c r="C448" s="1093"/>
      <c r="D448" s="1094"/>
      <c r="E448" s="1174"/>
      <c r="F448" s="598">
        <f>F443+F447</f>
        <v>85.171999999999997</v>
      </c>
      <c r="G448" s="582"/>
      <c r="H448" s="582"/>
      <c r="I448" s="582"/>
      <c r="J448" s="582"/>
    </row>
    <row r="449" spans="2:10" s="577" customFormat="1">
      <c r="B449" s="1092" t="s">
        <v>1212</v>
      </c>
      <c r="C449" s="1093"/>
      <c r="D449" s="1094"/>
      <c r="E449" s="1172">
        <v>0</v>
      </c>
      <c r="F449" s="598">
        <f>F448*(E449/100)</f>
        <v>0</v>
      </c>
      <c r="G449" s="582"/>
      <c r="H449" s="582"/>
      <c r="I449" s="582"/>
      <c r="J449" s="582"/>
    </row>
    <row r="450" spans="2:10" s="577" customFormat="1">
      <c r="B450" s="1095" t="s">
        <v>1213</v>
      </c>
      <c r="C450" s="1096"/>
      <c r="D450" s="1097"/>
      <c r="E450" s="1174"/>
      <c r="F450" s="600">
        <f>F448+F449</f>
        <v>85.171999999999997</v>
      </c>
      <c r="G450" s="582"/>
      <c r="H450" s="582"/>
      <c r="I450" s="582"/>
      <c r="J450" s="582"/>
    </row>
    <row r="451" spans="2:10" s="577" customFormat="1"/>
    <row r="452" spans="2:10" s="577" customFormat="1"/>
    <row r="453" spans="2:10" s="577" customFormat="1"/>
    <row r="454" spans="2:10" s="577" customFormat="1"/>
    <row r="455" spans="2:10" s="577" customFormat="1">
      <c r="B455" s="578" t="s">
        <v>1289</v>
      </c>
      <c r="C455" s="582"/>
      <c r="D455" s="582"/>
      <c r="E455" s="582"/>
      <c r="F455" s="582"/>
      <c r="G455" s="582"/>
      <c r="H455" s="578" t="s">
        <v>1261</v>
      </c>
      <c r="I455" s="582"/>
      <c r="J455" s="582"/>
    </row>
    <row r="456" spans="2:10" s="577" customFormat="1">
      <c r="B456" s="582" t="s">
        <v>1278</v>
      </c>
      <c r="C456" s="582"/>
      <c r="D456" s="582"/>
      <c r="E456" s="582"/>
      <c r="F456" s="582"/>
      <c r="G456" s="582"/>
      <c r="H456" s="642"/>
      <c r="I456" s="582"/>
      <c r="J456" s="582"/>
    </row>
    <row r="457" spans="2:10" s="577" customFormat="1">
      <c r="B457" s="582"/>
      <c r="C457" s="582"/>
      <c r="D457" s="582"/>
      <c r="E457" s="582"/>
      <c r="F457" s="582"/>
      <c r="G457" s="582"/>
      <c r="H457" s="582"/>
      <c r="I457" s="582"/>
      <c r="J457" s="582"/>
    </row>
    <row r="458" spans="2:10" s="577" customFormat="1">
      <c r="B458" s="583" t="s">
        <v>1290</v>
      </c>
      <c r="C458" s="583"/>
      <c r="D458" s="584"/>
      <c r="E458" s="584"/>
      <c r="F458" s="653"/>
      <c r="G458" s="582"/>
      <c r="H458" s="582"/>
      <c r="I458" s="582"/>
      <c r="J458" s="582"/>
    </row>
    <row r="459" spans="2:10" s="577" customFormat="1">
      <c r="B459" s="584"/>
      <c r="C459" s="584"/>
      <c r="D459" s="584"/>
      <c r="E459" s="584"/>
      <c r="F459" s="584"/>
      <c r="G459" s="582"/>
      <c r="H459" s="582"/>
      <c r="I459" s="582"/>
      <c r="J459" s="582"/>
    </row>
    <row r="460" spans="2:10" s="577" customFormat="1" ht="45">
      <c r="B460" s="585" t="s">
        <v>1176</v>
      </c>
      <c r="C460" s="1075" t="s">
        <v>1177</v>
      </c>
      <c r="D460" s="1075"/>
      <c r="E460" s="585" t="s">
        <v>1178</v>
      </c>
      <c r="F460" s="585" t="s">
        <v>1291</v>
      </c>
      <c r="G460" s="648"/>
      <c r="H460" s="648"/>
      <c r="I460" s="648"/>
      <c r="J460" s="582"/>
    </row>
    <row r="461" spans="2:10" s="577" customFormat="1" ht="36.75" customHeight="1">
      <c r="B461" s="655" t="s">
        <v>1280</v>
      </c>
      <c r="C461" s="1102" t="s">
        <v>1281</v>
      </c>
      <c r="D461" s="1102"/>
      <c r="E461" s="591" t="s">
        <v>691</v>
      </c>
      <c r="F461" s="664">
        <v>55</v>
      </c>
      <c r="G461" s="648"/>
      <c r="H461" s="648"/>
      <c r="I461" s="648"/>
      <c r="J461" s="582"/>
    </row>
    <row r="462" spans="2:10" s="577" customFormat="1">
      <c r="B462" s="658" t="s">
        <v>1282</v>
      </c>
      <c r="C462" s="1106" t="s">
        <v>1283</v>
      </c>
      <c r="D462" s="1106"/>
      <c r="E462" s="591" t="s">
        <v>691</v>
      </c>
      <c r="F462" s="665">
        <v>52</v>
      </c>
      <c r="G462" s="648"/>
      <c r="H462" s="648"/>
      <c r="I462" s="648"/>
      <c r="J462" s="582"/>
    </row>
    <row r="463" spans="2:10" s="577" customFormat="1">
      <c r="B463" s="594" t="s">
        <v>1284</v>
      </c>
      <c r="C463" s="1102" t="s">
        <v>1285</v>
      </c>
      <c r="D463" s="1102"/>
      <c r="E463" s="591" t="s">
        <v>691</v>
      </c>
      <c r="F463" s="664">
        <v>72</v>
      </c>
      <c r="G463" s="648"/>
      <c r="H463" s="648"/>
      <c r="I463" s="648"/>
      <c r="J463" s="582"/>
    </row>
    <row r="464" spans="2:10" s="577" customFormat="1">
      <c r="B464" s="1103" t="s">
        <v>1186</v>
      </c>
      <c r="C464" s="1100"/>
      <c r="D464" s="1100"/>
      <c r="E464" s="1104"/>
      <c r="F464" s="666">
        <f>F462</f>
        <v>52</v>
      </c>
      <c r="G464" s="648"/>
      <c r="H464" s="648"/>
      <c r="I464" s="648"/>
      <c r="J464" s="582"/>
    </row>
    <row r="465" spans="2:10" s="577" customFormat="1">
      <c r="B465" s="582"/>
      <c r="C465" s="582"/>
      <c r="D465" s="582"/>
      <c r="E465" s="582"/>
      <c r="F465" s="582"/>
      <c r="G465" s="582"/>
      <c r="H465" s="582"/>
      <c r="I465" s="582"/>
      <c r="J465" s="582"/>
    </row>
    <row r="466" spans="2:10" s="577" customFormat="1">
      <c r="B466" s="585" t="s">
        <v>1187</v>
      </c>
      <c r="C466" s="585" t="s">
        <v>1178</v>
      </c>
      <c r="D466" s="585" t="s">
        <v>1188</v>
      </c>
      <c r="E466" s="585" t="s">
        <v>1189</v>
      </c>
      <c r="F466" s="585" t="s">
        <v>1190</v>
      </c>
      <c r="G466" s="585" t="s">
        <v>1191</v>
      </c>
      <c r="H466" s="585" t="s">
        <v>1192</v>
      </c>
      <c r="I466" s="585" t="s">
        <v>1179</v>
      </c>
      <c r="J466" s="585" t="s">
        <v>1193</v>
      </c>
    </row>
    <row r="467" spans="2:10" s="577" customFormat="1">
      <c r="B467" s="591" t="s">
        <v>1274</v>
      </c>
      <c r="C467" s="591" t="s">
        <v>1195</v>
      </c>
      <c r="D467" s="592">
        <v>10101</v>
      </c>
      <c r="E467" s="591">
        <v>0.4</v>
      </c>
      <c r="F467" s="593"/>
      <c r="G467" s="593"/>
      <c r="H467" s="593"/>
      <c r="I467" s="593">
        <v>15.08</v>
      </c>
      <c r="J467" s="593">
        <f>E467*I467</f>
        <v>6.032</v>
      </c>
    </row>
    <row r="468" spans="2:10" s="577" customFormat="1">
      <c r="B468" s="591" t="s">
        <v>1286</v>
      </c>
      <c r="C468" s="591" t="s">
        <v>1195</v>
      </c>
      <c r="D468" s="592">
        <v>10115</v>
      </c>
      <c r="E468" s="591">
        <v>0.4</v>
      </c>
      <c r="F468" s="593"/>
      <c r="G468" s="593"/>
      <c r="H468" s="593"/>
      <c r="I468" s="593">
        <v>17.850000000000001</v>
      </c>
      <c r="J468" s="593">
        <f>E468*I468</f>
        <v>7.1400000000000006</v>
      </c>
    </row>
    <row r="469" spans="2:10" s="577" customFormat="1">
      <c r="B469" s="1087" t="s">
        <v>1196</v>
      </c>
      <c r="C469" s="1087"/>
      <c r="D469" s="1087"/>
      <c r="E469" s="1087"/>
      <c r="F469" s="1087"/>
      <c r="G469" s="1087"/>
      <c r="H469" s="1087"/>
      <c r="I469" s="1087"/>
      <c r="J469" s="599">
        <f>J467+J468</f>
        <v>13.172000000000001</v>
      </c>
    </row>
    <row r="470" spans="2:10" s="577" customFormat="1">
      <c r="B470" s="606"/>
      <c r="C470" s="606"/>
      <c r="D470" s="606"/>
      <c r="E470" s="606"/>
      <c r="F470" s="606"/>
      <c r="G470" s="606"/>
      <c r="H470" s="606"/>
      <c r="I470" s="606"/>
      <c r="J470" s="606"/>
    </row>
    <row r="471" spans="2:10" s="577" customFormat="1">
      <c r="B471" s="585" t="s">
        <v>1197</v>
      </c>
      <c r="C471" s="585" t="s">
        <v>1178</v>
      </c>
      <c r="D471" s="585" t="s">
        <v>1188</v>
      </c>
      <c r="E471" s="585" t="s">
        <v>1189</v>
      </c>
      <c r="F471" s="585" t="s">
        <v>1190</v>
      </c>
      <c r="G471" s="585" t="s">
        <v>1191</v>
      </c>
      <c r="H471" s="585" t="s">
        <v>1192</v>
      </c>
      <c r="I471" s="585" t="s">
        <v>1179</v>
      </c>
      <c r="J471" s="585" t="s">
        <v>1193</v>
      </c>
    </row>
    <row r="472" spans="2:10" s="577" customFormat="1">
      <c r="B472" s="1157" t="s">
        <v>1292</v>
      </c>
      <c r="C472" s="1157" t="s">
        <v>1199</v>
      </c>
      <c r="D472" s="1165" t="s">
        <v>1200</v>
      </c>
      <c r="E472" s="1175">
        <v>1</v>
      </c>
      <c r="F472" s="1185"/>
      <c r="G472" s="1185"/>
      <c r="H472" s="1185"/>
      <c r="I472" s="1157">
        <f>F464</f>
        <v>52</v>
      </c>
      <c r="J472" s="1157">
        <f>E472*I472</f>
        <v>52</v>
      </c>
    </row>
    <row r="473" spans="2:10" s="577" customFormat="1">
      <c r="B473" s="1158"/>
      <c r="C473" s="1158"/>
      <c r="D473" s="1166"/>
      <c r="E473" s="1176"/>
      <c r="F473" s="1186"/>
      <c r="G473" s="1186"/>
      <c r="H473" s="1186"/>
      <c r="I473" s="1158"/>
      <c r="J473" s="1158"/>
    </row>
    <row r="474" spans="2:10" s="577" customFormat="1">
      <c r="B474" s="1105" t="s">
        <v>1288</v>
      </c>
      <c r="C474" s="1105"/>
      <c r="D474" s="1105"/>
      <c r="E474" s="1105"/>
      <c r="F474" s="1105"/>
      <c r="G474" s="1105"/>
      <c r="H474" s="1105"/>
      <c r="I474" s="1105"/>
      <c r="J474" s="599">
        <f>SUM(J472:J473)</f>
        <v>52</v>
      </c>
    </row>
    <row r="475" spans="2:10" s="577" customFormat="1">
      <c r="B475" s="582"/>
      <c r="C475" s="582"/>
      <c r="D475" s="582"/>
      <c r="E475" s="582"/>
      <c r="F475" s="582"/>
      <c r="G475" s="582"/>
      <c r="H475" s="582"/>
      <c r="I475" s="582"/>
      <c r="J475" s="582"/>
    </row>
    <row r="476" spans="2:10" s="577" customFormat="1">
      <c r="B476" s="1088" t="s">
        <v>1201</v>
      </c>
      <c r="C476" s="1088"/>
      <c r="D476" s="1088"/>
      <c r="E476" s="1088"/>
      <c r="F476" s="1088"/>
      <c r="G476" s="582"/>
      <c r="H476" s="582"/>
      <c r="I476" s="582"/>
      <c r="J476" s="582"/>
    </row>
    <row r="477" spans="2:10" s="577" customFormat="1">
      <c r="B477" s="1089" t="s">
        <v>1202</v>
      </c>
      <c r="C477" s="1090"/>
      <c r="D477" s="1091"/>
      <c r="E477" s="596" t="s">
        <v>1203</v>
      </c>
      <c r="F477" s="596" t="s">
        <v>1204</v>
      </c>
      <c r="G477" s="582"/>
      <c r="H477" s="582"/>
      <c r="I477" s="582"/>
      <c r="J477" s="582"/>
    </row>
    <row r="478" spans="2:10" s="577" customFormat="1">
      <c r="B478" s="1092" t="s">
        <v>1205</v>
      </c>
      <c r="C478" s="1093"/>
      <c r="D478" s="1094"/>
      <c r="E478" s="1172">
        <v>128.33000000000001</v>
      </c>
      <c r="F478" s="598">
        <f>J469</f>
        <v>13.172000000000001</v>
      </c>
      <c r="G478" s="582"/>
      <c r="H478" s="582"/>
      <c r="I478" s="582"/>
      <c r="J478" s="582"/>
    </row>
    <row r="479" spans="2:10" s="577" customFormat="1">
      <c r="B479" s="1092" t="s">
        <v>1206</v>
      </c>
      <c r="C479" s="1093"/>
      <c r="D479" s="1094"/>
      <c r="E479" s="1173"/>
      <c r="F479" s="598">
        <f>J474</f>
        <v>52</v>
      </c>
      <c r="G479" s="582"/>
      <c r="H479" s="582"/>
      <c r="I479" s="582"/>
      <c r="J479" s="582"/>
    </row>
    <row r="480" spans="2:10" s="577" customFormat="1">
      <c r="B480" s="1092" t="s">
        <v>1207</v>
      </c>
      <c r="C480" s="1093"/>
      <c r="D480" s="1094"/>
      <c r="E480" s="1173"/>
      <c r="F480" s="598">
        <v>0</v>
      </c>
      <c r="G480" s="582"/>
      <c r="H480" s="582"/>
      <c r="I480" s="582"/>
      <c r="J480" s="582"/>
    </row>
    <row r="481" spans="2:10" s="577" customFormat="1">
      <c r="B481" s="1092" t="s">
        <v>1208</v>
      </c>
      <c r="C481" s="1093"/>
      <c r="D481" s="1094"/>
      <c r="E481" s="1173"/>
      <c r="F481" s="598">
        <v>1</v>
      </c>
      <c r="G481" s="582"/>
      <c r="H481" s="582"/>
      <c r="I481" s="582"/>
      <c r="J481" s="582"/>
    </row>
    <row r="482" spans="2:10" s="577" customFormat="1">
      <c r="B482" s="1092" t="s">
        <v>1209</v>
      </c>
      <c r="C482" s="1093"/>
      <c r="D482" s="1094"/>
      <c r="E482" s="1173"/>
      <c r="F482" s="598">
        <f>F478+F480</f>
        <v>13.172000000000001</v>
      </c>
      <c r="G482" s="582"/>
      <c r="H482" s="582"/>
      <c r="I482" s="582"/>
      <c r="J482" s="582"/>
    </row>
    <row r="483" spans="2:10" s="577" customFormat="1">
      <c r="B483" s="1092" t="s">
        <v>1210</v>
      </c>
      <c r="C483" s="1093"/>
      <c r="D483" s="1094"/>
      <c r="E483" s="1173"/>
      <c r="F483" s="598">
        <f>(F478/F481)+(F480/F481)</f>
        <v>13.172000000000001</v>
      </c>
      <c r="G483" s="582"/>
      <c r="H483" s="582"/>
      <c r="I483" s="582"/>
      <c r="J483" s="582"/>
    </row>
    <row r="484" spans="2:10" s="577" customFormat="1">
      <c r="B484" s="1092" t="s">
        <v>1211</v>
      </c>
      <c r="C484" s="1093"/>
      <c r="D484" s="1094"/>
      <c r="E484" s="1174"/>
      <c r="F484" s="598">
        <f>F479+F483</f>
        <v>65.171999999999997</v>
      </c>
      <c r="G484" s="582"/>
      <c r="H484" s="582"/>
      <c r="I484" s="582"/>
      <c r="J484" s="582"/>
    </row>
    <row r="485" spans="2:10" s="577" customFormat="1">
      <c r="B485" s="1092" t="s">
        <v>1212</v>
      </c>
      <c r="C485" s="1093"/>
      <c r="D485" s="1094"/>
      <c r="E485" s="1172">
        <v>0</v>
      </c>
      <c r="F485" s="598">
        <f>F484*(E485/100)</f>
        <v>0</v>
      </c>
      <c r="G485" s="582"/>
      <c r="H485" s="582"/>
      <c r="I485" s="582"/>
      <c r="J485" s="582"/>
    </row>
    <row r="486" spans="2:10" s="577" customFormat="1">
      <c r="B486" s="1095" t="s">
        <v>1213</v>
      </c>
      <c r="C486" s="1096"/>
      <c r="D486" s="1097"/>
      <c r="E486" s="1174"/>
      <c r="F486" s="600">
        <f>F484+F485</f>
        <v>65.171999999999997</v>
      </c>
      <c r="G486" s="582"/>
      <c r="H486" s="582"/>
      <c r="I486" s="582"/>
      <c r="J486" s="582"/>
    </row>
    <row r="487" spans="2:10" s="577" customFormat="1"/>
    <row r="488" spans="2:10" s="577" customFormat="1"/>
    <row r="489" spans="2:10" s="577" customFormat="1"/>
    <row r="490" spans="2:10" s="577" customFormat="1"/>
    <row r="491" spans="2:10" s="577" customFormat="1">
      <c r="B491" s="578" t="s">
        <v>1293</v>
      </c>
      <c r="C491" s="582"/>
      <c r="D491" s="582"/>
      <c r="E491" s="582"/>
      <c r="F491" s="582"/>
      <c r="G491" s="582"/>
      <c r="H491" s="582"/>
      <c r="I491" s="582"/>
      <c r="J491" s="582"/>
    </row>
    <row r="492" spans="2:10" s="577" customFormat="1">
      <c r="B492" s="582" t="s">
        <v>1278</v>
      </c>
      <c r="C492" s="582"/>
      <c r="D492" s="582"/>
      <c r="E492" s="582"/>
      <c r="F492" s="582"/>
      <c r="G492" s="582"/>
      <c r="H492" s="642"/>
      <c r="I492" s="582"/>
      <c r="J492" s="582"/>
    </row>
    <row r="493" spans="2:10" s="577" customFormat="1">
      <c r="B493" s="582"/>
      <c r="C493" s="582"/>
      <c r="D493" s="582"/>
      <c r="E493" s="582"/>
      <c r="F493" s="582"/>
      <c r="G493" s="582"/>
      <c r="H493" s="582"/>
      <c r="I493" s="582"/>
      <c r="J493" s="582"/>
    </row>
    <row r="494" spans="2:10" s="577" customFormat="1">
      <c r="B494" s="583" t="s">
        <v>1175</v>
      </c>
      <c r="C494" s="583"/>
      <c r="D494" s="584"/>
      <c r="E494" s="584"/>
      <c r="F494" s="653"/>
      <c r="G494" s="582"/>
      <c r="H494" s="582"/>
      <c r="I494" s="582"/>
      <c r="J494" s="582"/>
    </row>
    <row r="495" spans="2:10" s="577" customFormat="1">
      <c r="B495" s="584"/>
      <c r="C495" s="584"/>
      <c r="D495" s="584"/>
      <c r="E495" s="584"/>
      <c r="F495" s="584"/>
      <c r="G495" s="582"/>
      <c r="H495" s="582"/>
      <c r="I495" s="582"/>
      <c r="J495" s="582"/>
    </row>
    <row r="496" spans="2:10" s="577" customFormat="1" ht="45">
      <c r="B496" s="585" t="s">
        <v>1176</v>
      </c>
      <c r="C496" s="1075" t="s">
        <v>1177</v>
      </c>
      <c r="D496" s="1075"/>
      <c r="E496" s="585" t="s">
        <v>1178</v>
      </c>
      <c r="F496" s="585" t="s">
        <v>1294</v>
      </c>
      <c r="G496" s="608"/>
      <c r="H496" s="608"/>
      <c r="I496" s="608"/>
      <c r="J496" s="582"/>
    </row>
    <row r="497" spans="2:10" s="577" customFormat="1" ht="30">
      <c r="B497" s="655" t="s">
        <v>1280</v>
      </c>
      <c r="C497" s="1078" t="s">
        <v>1281</v>
      </c>
      <c r="D497" s="1078"/>
      <c r="E497" s="588" t="s">
        <v>691</v>
      </c>
      <c r="F497" s="664">
        <v>55</v>
      </c>
      <c r="G497" s="657"/>
      <c r="H497" s="647"/>
      <c r="I497" s="657"/>
      <c r="J497" s="582"/>
    </row>
    <row r="498" spans="2:10" s="577" customFormat="1">
      <c r="B498" s="658" t="s">
        <v>1282</v>
      </c>
      <c r="C498" s="1077" t="s">
        <v>1283</v>
      </c>
      <c r="D498" s="1077"/>
      <c r="E498" s="588" t="s">
        <v>691</v>
      </c>
      <c r="F498" s="667">
        <v>52</v>
      </c>
      <c r="G498" s="660"/>
      <c r="H498" s="647"/>
      <c r="I498" s="660"/>
      <c r="J498" s="582"/>
    </row>
    <row r="499" spans="2:10" s="577" customFormat="1">
      <c r="B499" s="661" t="s">
        <v>1284</v>
      </c>
      <c r="C499" s="1078" t="s">
        <v>1285</v>
      </c>
      <c r="D499" s="1078"/>
      <c r="E499" s="588" t="s">
        <v>691</v>
      </c>
      <c r="F499" s="664">
        <v>50</v>
      </c>
      <c r="G499" s="657"/>
      <c r="H499" s="647"/>
      <c r="I499" s="657"/>
      <c r="J499" s="582"/>
    </row>
    <row r="500" spans="2:10" s="577" customFormat="1">
      <c r="B500" s="1103" t="s">
        <v>1186</v>
      </c>
      <c r="C500" s="1100"/>
      <c r="D500" s="1100"/>
      <c r="E500" s="1104"/>
      <c r="F500" s="666">
        <f>F499</f>
        <v>50</v>
      </c>
      <c r="G500" s="663"/>
      <c r="H500" s="647"/>
      <c r="I500" s="663"/>
      <c r="J500" s="582"/>
    </row>
    <row r="501" spans="2:10" s="577" customFormat="1">
      <c r="B501" s="582"/>
      <c r="C501" s="582"/>
      <c r="D501" s="582"/>
      <c r="E501" s="582"/>
      <c r="F501" s="582"/>
      <c r="G501" s="582"/>
      <c r="H501" s="582"/>
      <c r="I501" s="582"/>
      <c r="J501" s="582"/>
    </row>
    <row r="502" spans="2:10" s="577" customFormat="1">
      <c r="B502" s="585" t="s">
        <v>1187</v>
      </c>
      <c r="C502" s="585" t="s">
        <v>1178</v>
      </c>
      <c r="D502" s="585" t="s">
        <v>1188</v>
      </c>
      <c r="E502" s="585" t="s">
        <v>1189</v>
      </c>
      <c r="F502" s="585" t="s">
        <v>1190</v>
      </c>
      <c r="G502" s="585" t="s">
        <v>1191</v>
      </c>
      <c r="H502" s="585" t="s">
        <v>1192</v>
      </c>
      <c r="I502" s="585" t="s">
        <v>1179</v>
      </c>
      <c r="J502" s="585" t="s">
        <v>1193</v>
      </c>
    </row>
    <row r="503" spans="2:10" s="577" customFormat="1">
      <c r="B503" s="591" t="s">
        <v>1274</v>
      </c>
      <c r="C503" s="591" t="s">
        <v>1195</v>
      </c>
      <c r="D503" s="592">
        <v>10101</v>
      </c>
      <c r="E503" s="591">
        <v>0.4</v>
      </c>
      <c r="F503" s="593"/>
      <c r="G503" s="593"/>
      <c r="H503" s="593"/>
      <c r="I503" s="593">
        <v>15.08</v>
      </c>
      <c r="J503" s="593">
        <f>E503*I503</f>
        <v>6.032</v>
      </c>
    </row>
    <row r="504" spans="2:10" s="577" customFormat="1">
      <c r="B504" s="591" t="s">
        <v>1286</v>
      </c>
      <c r="C504" s="591" t="s">
        <v>1195</v>
      </c>
      <c r="D504" s="592">
        <v>10115</v>
      </c>
      <c r="E504" s="591">
        <v>0.4</v>
      </c>
      <c r="F504" s="593"/>
      <c r="G504" s="593"/>
      <c r="H504" s="593"/>
      <c r="I504" s="593">
        <v>17.850000000000001</v>
      </c>
      <c r="J504" s="593">
        <f>E504*I504</f>
        <v>7.1400000000000006</v>
      </c>
    </row>
    <row r="505" spans="2:10" s="577" customFormat="1">
      <c r="B505" s="1087" t="s">
        <v>1196</v>
      </c>
      <c r="C505" s="1087"/>
      <c r="D505" s="1087"/>
      <c r="E505" s="1087"/>
      <c r="F505" s="1087"/>
      <c r="G505" s="1087"/>
      <c r="H505" s="1087"/>
      <c r="I505" s="1087"/>
      <c r="J505" s="599">
        <f>J503+J504</f>
        <v>13.172000000000001</v>
      </c>
    </row>
    <row r="506" spans="2:10" s="577" customFormat="1">
      <c r="B506" s="606"/>
      <c r="C506" s="606"/>
      <c r="D506" s="606"/>
      <c r="E506" s="606"/>
      <c r="F506" s="606"/>
      <c r="G506" s="606"/>
      <c r="H506" s="606"/>
      <c r="I506" s="606"/>
      <c r="J506" s="606"/>
    </row>
    <row r="507" spans="2:10" s="577" customFormat="1">
      <c r="B507" s="585" t="s">
        <v>1197</v>
      </c>
      <c r="C507" s="585" t="s">
        <v>1178</v>
      </c>
      <c r="D507" s="585" t="s">
        <v>1188</v>
      </c>
      <c r="E507" s="585" t="s">
        <v>1189</v>
      </c>
      <c r="F507" s="585" t="s">
        <v>1190</v>
      </c>
      <c r="G507" s="585" t="s">
        <v>1191</v>
      </c>
      <c r="H507" s="585" t="s">
        <v>1192</v>
      </c>
      <c r="I507" s="585" t="s">
        <v>1179</v>
      </c>
      <c r="J507" s="585" t="s">
        <v>1193</v>
      </c>
    </row>
    <row r="508" spans="2:10" s="577" customFormat="1">
      <c r="B508" s="1157" t="s">
        <v>1295</v>
      </c>
      <c r="C508" s="1157" t="s">
        <v>1199</v>
      </c>
      <c r="D508" s="1165" t="s">
        <v>1200</v>
      </c>
      <c r="E508" s="1175">
        <v>1</v>
      </c>
      <c r="F508" s="1185"/>
      <c r="G508" s="1185"/>
      <c r="H508" s="1185"/>
      <c r="I508" s="1157">
        <f>F500</f>
        <v>50</v>
      </c>
      <c r="J508" s="1157">
        <f>E508*I508</f>
        <v>50</v>
      </c>
    </row>
    <row r="509" spans="2:10" s="577" customFormat="1">
      <c r="B509" s="1159"/>
      <c r="C509" s="1159"/>
      <c r="D509" s="1167"/>
      <c r="E509" s="1177"/>
      <c r="F509" s="1187"/>
      <c r="G509" s="1187"/>
      <c r="H509" s="1187"/>
      <c r="I509" s="1159"/>
      <c r="J509" s="1159"/>
    </row>
    <row r="510" spans="2:10" s="579" customFormat="1">
      <c r="B510" s="1105" t="s">
        <v>1288</v>
      </c>
      <c r="C510" s="1105"/>
      <c r="D510" s="1105"/>
      <c r="E510" s="1105"/>
      <c r="F510" s="1105"/>
      <c r="G510" s="1105"/>
      <c r="H510" s="1105"/>
      <c r="I510" s="1105"/>
      <c r="J510" s="599">
        <f>SUM(J508:J509)</f>
        <v>50</v>
      </c>
    </row>
    <row r="511" spans="2:10" s="577" customFormat="1">
      <c r="B511" s="582"/>
      <c r="C511" s="582"/>
      <c r="D511" s="582"/>
      <c r="E511" s="582"/>
      <c r="F511" s="582"/>
      <c r="G511" s="582"/>
      <c r="H511" s="582"/>
      <c r="I511" s="582"/>
      <c r="J511" s="582"/>
    </row>
    <row r="512" spans="2:10" s="577" customFormat="1">
      <c r="B512" s="1088" t="s">
        <v>1201</v>
      </c>
      <c r="C512" s="1088"/>
      <c r="D512" s="1088"/>
      <c r="E512" s="1088"/>
      <c r="F512" s="1088"/>
      <c r="G512" s="582"/>
      <c r="H512" s="582"/>
      <c r="I512" s="582"/>
      <c r="J512" s="582"/>
    </row>
    <row r="513" spans="2:10" s="577" customFormat="1">
      <c r="B513" s="1089" t="s">
        <v>1202</v>
      </c>
      <c r="C513" s="1090"/>
      <c r="D513" s="1091"/>
      <c r="E513" s="596" t="s">
        <v>1203</v>
      </c>
      <c r="F513" s="596" t="s">
        <v>1204</v>
      </c>
      <c r="G513" s="582"/>
      <c r="H513" s="582"/>
      <c r="I513" s="582"/>
      <c r="J513" s="582"/>
    </row>
    <row r="514" spans="2:10" s="577" customFormat="1">
      <c r="B514" s="1092" t="s">
        <v>1205</v>
      </c>
      <c r="C514" s="1093"/>
      <c r="D514" s="1094"/>
      <c r="E514" s="1172">
        <v>128.33000000000001</v>
      </c>
      <c r="F514" s="598">
        <f>J505</f>
        <v>13.172000000000001</v>
      </c>
      <c r="G514" s="582"/>
      <c r="H514" s="582"/>
      <c r="I514" s="582"/>
      <c r="J514" s="582"/>
    </row>
    <row r="515" spans="2:10" s="577" customFormat="1">
      <c r="B515" s="1092" t="s">
        <v>1206</v>
      </c>
      <c r="C515" s="1093"/>
      <c r="D515" s="1094"/>
      <c r="E515" s="1173"/>
      <c r="F515" s="598">
        <f>J510</f>
        <v>50</v>
      </c>
      <c r="G515" s="582"/>
      <c r="H515" s="582"/>
      <c r="I515" s="582"/>
      <c r="J515" s="582"/>
    </row>
    <row r="516" spans="2:10" s="577" customFormat="1">
      <c r="B516" s="1092" t="s">
        <v>1207</v>
      </c>
      <c r="C516" s="1093"/>
      <c r="D516" s="1094"/>
      <c r="E516" s="1173"/>
      <c r="F516" s="598">
        <v>0</v>
      </c>
      <c r="G516" s="582"/>
      <c r="H516" s="582"/>
      <c r="I516" s="582"/>
      <c r="J516" s="582"/>
    </row>
    <row r="517" spans="2:10" s="577" customFormat="1">
      <c r="B517" s="1092" t="s">
        <v>1208</v>
      </c>
      <c r="C517" s="1093"/>
      <c r="D517" s="1094"/>
      <c r="E517" s="1173"/>
      <c r="F517" s="598">
        <v>1</v>
      </c>
      <c r="G517" s="582"/>
      <c r="H517" s="582"/>
      <c r="I517" s="582"/>
      <c r="J517" s="582"/>
    </row>
    <row r="518" spans="2:10" s="577" customFormat="1">
      <c r="B518" s="1092" t="s">
        <v>1209</v>
      </c>
      <c r="C518" s="1093"/>
      <c r="D518" s="1094"/>
      <c r="E518" s="1173"/>
      <c r="F518" s="598">
        <f>F514+F516</f>
        <v>13.172000000000001</v>
      </c>
      <c r="G518" s="582"/>
      <c r="H518" s="582"/>
      <c r="I518" s="582"/>
      <c r="J518" s="582"/>
    </row>
    <row r="519" spans="2:10" s="577" customFormat="1">
      <c r="B519" s="1092" t="s">
        <v>1210</v>
      </c>
      <c r="C519" s="1093"/>
      <c r="D519" s="1094"/>
      <c r="E519" s="1173"/>
      <c r="F519" s="598">
        <f>(F514/F517)+(F516/F517)</f>
        <v>13.172000000000001</v>
      </c>
      <c r="G519" s="582"/>
      <c r="H519" s="582"/>
      <c r="I519" s="582"/>
      <c r="J519" s="582"/>
    </row>
    <row r="520" spans="2:10" s="577" customFormat="1">
      <c r="B520" s="1092" t="s">
        <v>1211</v>
      </c>
      <c r="C520" s="1093"/>
      <c r="D520" s="1094"/>
      <c r="E520" s="1174"/>
      <c r="F520" s="598">
        <f>F515+F519</f>
        <v>63.171999999999997</v>
      </c>
      <c r="G520" s="582"/>
      <c r="H520" s="582"/>
      <c r="I520" s="582"/>
      <c r="J520" s="582"/>
    </row>
    <row r="521" spans="2:10" s="577" customFormat="1">
      <c r="B521" s="1092" t="s">
        <v>1212</v>
      </c>
      <c r="C521" s="1093"/>
      <c r="D521" s="1094"/>
      <c r="E521" s="1172">
        <v>0</v>
      </c>
      <c r="F521" s="598">
        <f>F520*(E521/100)</f>
        <v>0</v>
      </c>
      <c r="G521" s="582"/>
      <c r="H521" s="582"/>
      <c r="I521" s="582"/>
      <c r="J521" s="582"/>
    </row>
    <row r="522" spans="2:10" s="577" customFormat="1">
      <c r="B522" s="1095" t="s">
        <v>1213</v>
      </c>
      <c r="C522" s="1096"/>
      <c r="D522" s="1097"/>
      <c r="E522" s="1174"/>
      <c r="F522" s="600">
        <f>F520+F521</f>
        <v>63.171999999999997</v>
      </c>
      <c r="G522" s="582"/>
      <c r="H522" s="582"/>
      <c r="I522" s="582"/>
      <c r="J522" s="582"/>
    </row>
    <row r="523" spans="2:10" s="577" customFormat="1"/>
    <row r="524" spans="2:10" s="577" customFormat="1"/>
    <row r="525" spans="2:10" s="577" customFormat="1"/>
    <row r="526" spans="2:10" s="577" customFormat="1"/>
    <row r="527" spans="2:10" s="577" customFormat="1">
      <c r="B527" s="578" t="s">
        <v>1296</v>
      </c>
      <c r="C527" s="582"/>
      <c r="D527" s="582"/>
      <c r="E527" s="582"/>
      <c r="F527" s="582"/>
      <c r="G527" s="582"/>
      <c r="I527" s="582"/>
      <c r="J527" s="578" t="s">
        <v>1261</v>
      </c>
    </row>
    <row r="528" spans="2:10" s="577" customFormat="1">
      <c r="B528" s="582" t="s">
        <v>1278</v>
      </c>
      <c r="C528" s="582"/>
      <c r="D528" s="582"/>
      <c r="E528" s="582"/>
      <c r="F528" s="582"/>
      <c r="G528" s="582"/>
      <c r="H528" s="642"/>
      <c r="I528" s="582"/>
      <c r="J528" s="582"/>
    </row>
    <row r="529" spans="2:10" s="577" customFormat="1">
      <c r="B529" s="582"/>
      <c r="C529" s="582"/>
      <c r="D529" s="582"/>
      <c r="E529" s="582"/>
      <c r="F529" s="582"/>
      <c r="G529" s="582"/>
      <c r="H529" s="582"/>
      <c r="I529" s="582"/>
      <c r="J529" s="582"/>
    </row>
    <row r="530" spans="2:10" s="577" customFormat="1">
      <c r="B530" s="583" t="s">
        <v>1175</v>
      </c>
      <c r="C530" s="583"/>
      <c r="D530" s="584"/>
      <c r="E530" s="584"/>
      <c r="F530" s="653"/>
      <c r="G530" s="582"/>
      <c r="H530" s="582"/>
      <c r="I530" s="582"/>
      <c r="J530" s="582"/>
    </row>
    <row r="531" spans="2:10" s="577" customFormat="1">
      <c r="B531" s="584"/>
      <c r="C531" s="584"/>
      <c r="D531" s="584"/>
      <c r="E531" s="584"/>
      <c r="F531" s="584"/>
      <c r="G531" s="582"/>
      <c r="H531" s="582"/>
      <c r="I531" s="582"/>
      <c r="J531" s="582"/>
    </row>
    <row r="532" spans="2:10" s="577" customFormat="1" ht="45">
      <c r="B532" s="585" t="s">
        <v>1176</v>
      </c>
      <c r="C532" s="1075" t="s">
        <v>1177</v>
      </c>
      <c r="D532" s="1075"/>
      <c r="E532" s="585" t="s">
        <v>1178</v>
      </c>
      <c r="F532" s="585" t="s">
        <v>1297</v>
      </c>
      <c r="G532" s="648"/>
      <c r="H532" s="648"/>
      <c r="I532" s="648"/>
      <c r="J532" s="582"/>
    </row>
    <row r="533" spans="2:10" s="577" customFormat="1" ht="30">
      <c r="B533" s="655" t="s">
        <v>1280</v>
      </c>
      <c r="C533" s="1078" t="s">
        <v>1281</v>
      </c>
      <c r="D533" s="1078"/>
      <c r="E533" s="588" t="s">
        <v>691</v>
      </c>
      <c r="F533" s="588">
        <v>35.99</v>
      </c>
      <c r="G533" s="648"/>
      <c r="H533" s="648"/>
      <c r="I533" s="648"/>
      <c r="J533" s="582"/>
    </row>
    <row r="534" spans="2:10" s="577" customFormat="1">
      <c r="B534" s="658" t="s">
        <v>1282</v>
      </c>
      <c r="C534" s="1077" t="s">
        <v>1283</v>
      </c>
      <c r="D534" s="1077"/>
      <c r="E534" s="588" t="s">
        <v>691</v>
      </c>
      <c r="F534" s="667">
        <v>39</v>
      </c>
      <c r="G534" s="648"/>
      <c r="H534" s="648"/>
      <c r="I534" s="648"/>
      <c r="J534" s="582"/>
    </row>
    <row r="535" spans="2:10" s="577" customFormat="1">
      <c r="B535" s="661" t="s">
        <v>1284</v>
      </c>
      <c r="C535" s="1078" t="s">
        <v>1285</v>
      </c>
      <c r="D535" s="1078"/>
      <c r="E535" s="588" t="s">
        <v>691</v>
      </c>
      <c r="F535" s="588">
        <v>35</v>
      </c>
      <c r="G535" s="648"/>
      <c r="H535" s="648"/>
      <c r="I535" s="648"/>
      <c r="J535" s="582"/>
    </row>
    <row r="536" spans="2:10" s="577" customFormat="1">
      <c r="B536" s="1103" t="s">
        <v>1186</v>
      </c>
      <c r="C536" s="1100"/>
      <c r="D536" s="1100"/>
      <c r="E536" s="1104"/>
      <c r="F536" s="668">
        <f>F535</f>
        <v>35</v>
      </c>
      <c r="G536" s="648"/>
      <c r="H536" s="648"/>
      <c r="I536" s="648"/>
      <c r="J536" s="582"/>
    </row>
    <row r="537" spans="2:10" s="577" customFormat="1">
      <c r="B537" s="582"/>
      <c r="C537" s="582"/>
      <c r="D537" s="582"/>
      <c r="E537" s="582"/>
      <c r="F537" s="582"/>
      <c r="G537" s="582"/>
      <c r="H537" s="582"/>
      <c r="I537" s="582"/>
      <c r="J537" s="582"/>
    </row>
    <row r="538" spans="2:10" s="577" customFormat="1">
      <c r="B538" s="585" t="s">
        <v>1187</v>
      </c>
      <c r="C538" s="585" t="s">
        <v>1178</v>
      </c>
      <c r="D538" s="585" t="s">
        <v>1188</v>
      </c>
      <c r="E538" s="585" t="s">
        <v>1189</v>
      </c>
      <c r="F538" s="585" t="s">
        <v>1190</v>
      </c>
      <c r="G538" s="585" t="s">
        <v>1191</v>
      </c>
      <c r="H538" s="585" t="s">
        <v>1192</v>
      </c>
      <c r="I538" s="585" t="s">
        <v>1179</v>
      </c>
      <c r="J538" s="585" t="s">
        <v>1193</v>
      </c>
    </row>
    <row r="539" spans="2:10" s="577" customFormat="1">
      <c r="B539" s="591" t="s">
        <v>1274</v>
      </c>
      <c r="C539" s="591" t="s">
        <v>1195</v>
      </c>
      <c r="D539" s="592">
        <v>10101</v>
      </c>
      <c r="E539" s="591">
        <v>0.4</v>
      </c>
      <c r="F539" s="593"/>
      <c r="G539" s="593"/>
      <c r="H539" s="593"/>
      <c r="I539" s="593">
        <v>15.08</v>
      </c>
      <c r="J539" s="593">
        <f>E539*I539</f>
        <v>6.032</v>
      </c>
    </row>
    <row r="540" spans="2:10" s="577" customFormat="1">
      <c r="B540" s="591" t="s">
        <v>1286</v>
      </c>
      <c r="C540" s="591" t="s">
        <v>1195</v>
      </c>
      <c r="D540" s="592">
        <v>10115</v>
      </c>
      <c r="E540" s="591">
        <v>0.4</v>
      </c>
      <c r="F540" s="593"/>
      <c r="G540" s="593"/>
      <c r="H540" s="593"/>
      <c r="I540" s="593">
        <v>17.850000000000001</v>
      </c>
      <c r="J540" s="593">
        <f>E540*I540</f>
        <v>7.1400000000000006</v>
      </c>
    </row>
    <row r="541" spans="2:10" s="577" customFormat="1">
      <c r="B541" s="1087" t="s">
        <v>1196</v>
      </c>
      <c r="C541" s="1087"/>
      <c r="D541" s="1087"/>
      <c r="E541" s="1087"/>
      <c r="F541" s="1087"/>
      <c r="G541" s="1087"/>
      <c r="H541" s="1087"/>
      <c r="I541" s="1087"/>
      <c r="J541" s="599">
        <f>J539+J540</f>
        <v>13.172000000000001</v>
      </c>
    </row>
    <row r="542" spans="2:10" s="577" customFormat="1">
      <c r="B542" s="606"/>
      <c r="C542" s="606"/>
      <c r="D542" s="606"/>
      <c r="E542" s="606"/>
      <c r="F542" s="606"/>
      <c r="G542" s="606"/>
      <c r="H542" s="606"/>
      <c r="I542" s="606"/>
      <c r="J542" s="606"/>
    </row>
    <row r="543" spans="2:10" s="577" customFormat="1">
      <c r="B543" s="585" t="s">
        <v>1197</v>
      </c>
      <c r="C543" s="585" t="s">
        <v>1178</v>
      </c>
      <c r="D543" s="585" t="s">
        <v>1188</v>
      </c>
      <c r="E543" s="585" t="s">
        <v>1189</v>
      </c>
      <c r="F543" s="585" t="s">
        <v>1190</v>
      </c>
      <c r="G543" s="585" t="s">
        <v>1191</v>
      </c>
      <c r="H543" s="585" t="s">
        <v>1192</v>
      </c>
      <c r="I543" s="585" t="s">
        <v>1179</v>
      </c>
      <c r="J543" s="585" t="s">
        <v>1193</v>
      </c>
    </row>
    <row r="544" spans="2:10" s="577" customFormat="1">
      <c r="B544" s="1157" t="s">
        <v>1298</v>
      </c>
      <c r="C544" s="1157" t="s">
        <v>1199</v>
      </c>
      <c r="D544" s="1165" t="s">
        <v>1200</v>
      </c>
      <c r="E544" s="1175">
        <v>1</v>
      </c>
      <c r="F544" s="1185"/>
      <c r="G544" s="1185"/>
      <c r="H544" s="1185"/>
      <c r="I544" s="1157">
        <f>F536</f>
        <v>35</v>
      </c>
      <c r="J544" s="1157">
        <f>E544*I544</f>
        <v>35</v>
      </c>
    </row>
    <row r="545" spans="2:10" s="577" customFormat="1">
      <c r="B545" s="1158"/>
      <c r="C545" s="1158"/>
      <c r="D545" s="1166"/>
      <c r="E545" s="1176"/>
      <c r="F545" s="1186"/>
      <c r="G545" s="1186"/>
      <c r="H545" s="1186"/>
      <c r="I545" s="1158"/>
      <c r="J545" s="1158"/>
    </row>
    <row r="546" spans="2:10" s="577" customFormat="1">
      <c r="B546" s="1105" t="s">
        <v>1288</v>
      </c>
      <c r="C546" s="1105"/>
      <c r="D546" s="1105"/>
      <c r="E546" s="1105"/>
      <c r="F546" s="1105"/>
      <c r="G546" s="1105"/>
      <c r="H546" s="1105"/>
      <c r="I546" s="1105"/>
      <c r="J546" s="599">
        <f>SUM(J544:J545)</f>
        <v>35</v>
      </c>
    </row>
    <row r="547" spans="2:10" s="577" customFormat="1">
      <c r="B547" s="582"/>
      <c r="C547" s="582"/>
      <c r="D547" s="582"/>
      <c r="E547" s="582"/>
      <c r="F547" s="582"/>
      <c r="G547" s="582"/>
      <c r="H547" s="582"/>
      <c r="I547" s="582"/>
      <c r="J547" s="582"/>
    </row>
    <row r="548" spans="2:10" s="577" customFormat="1">
      <c r="B548" s="1088" t="s">
        <v>1201</v>
      </c>
      <c r="C548" s="1088"/>
      <c r="D548" s="1088"/>
      <c r="E548" s="1088"/>
      <c r="F548" s="1088"/>
      <c r="G548" s="582"/>
      <c r="H548" s="582"/>
      <c r="I548" s="582"/>
      <c r="J548" s="582"/>
    </row>
    <row r="549" spans="2:10" s="577" customFormat="1">
      <c r="B549" s="1089" t="s">
        <v>1202</v>
      </c>
      <c r="C549" s="1090"/>
      <c r="D549" s="1091"/>
      <c r="E549" s="596" t="s">
        <v>1203</v>
      </c>
      <c r="F549" s="596" t="s">
        <v>1204</v>
      </c>
      <c r="G549" s="582"/>
      <c r="H549" s="582"/>
      <c r="I549" s="582"/>
      <c r="J549" s="582"/>
    </row>
    <row r="550" spans="2:10" s="577" customFormat="1">
      <c r="B550" s="1092" t="s">
        <v>1205</v>
      </c>
      <c r="C550" s="1093"/>
      <c r="D550" s="1094"/>
      <c r="E550" s="1172">
        <v>128.33000000000001</v>
      </c>
      <c r="F550" s="598">
        <f>J541</f>
        <v>13.172000000000001</v>
      </c>
      <c r="G550" s="582"/>
      <c r="H550" s="582"/>
      <c r="I550" s="582"/>
      <c r="J550" s="582"/>
    </row>
    <row r="551" spans="2:10" s="577" customFormat="1">
      <c r="B551" s="1092" t="s">
        <v>1206</v>
      </c>
      <c r="C551" s="1093"/>
      <c r="D551" s="1094"/>
      <c r="E551" s="1173"/>
      <c r="F551" s="598">
        <f>J546</f>
        <v>35</v>
      </c>
      <c r="G551" s="582"/>
      <c r="H551" s="582"/>
      <c r="I551" s="582"/>
      <c r="J551" s="582"/>
    </row>
    <row r="552" spans="2:10" s="577" customFormat="1">
      <c r="B552" s="1092" t="s">
        <v>1207</v>
      </c>
      <c r="C552" s="1093"/>
      <c r="D552" s="1094"/>
      <c r="E552" s="1173"/>
      <c r="F552" s="598">
        <v>0</v>
      </c>
      <c r="G552" s="582"/>
      <c r="H552" s="582"/>
      <c r="I552" s="582"/>
      <c r="J552" s="582"/>
    </row>
    <row r="553" spans="2:10" s="577" customFormat="1">
      <c r="B553" s="1092" t="s">
        <v>1208</v>
      </c>
      <c r="C553" s="1093"/>
      <c r="D553" s="1094"/>
      <c r="E553" s="1173"/>
      <c r="F553" s="598">
        <v>1</v>
      </c>
      <c r="G553" s="582"/>
      <c r="H553" s="582"/>
      <c r="I553" s="582"/>
      <c r="J553" s="582"/>
    </row>
    <row r="554" spans="2:10" s="577" customFormat="1">
      <c r="B554" s="1092" t="s">
        <v>1209</v>
      </c>
      <c r="C554" s="1093"/>
      <c r="D554" s="1094"/>
      <c r="E554" s="1173"/>
      <c r="F554" s="598">
        <f>F550+F552</f>
        <v>13.172000000000001</v>
      </c>
      <c r="G554" s="582"/>
      <c r="H554" s="582"/>
      <c r="I554" s="582"/>
      <c r="J554" s="582"/>
    </row>
    <row r="555" spans="2:10" s="577" customFormat="1">
      <c r="B555" s="1092" t="s">
        <v>1210</v>
      </c>
      <c r="C555" s="1093"/>
      <c r="D555" s="1094"/>
      <c r="E555" s="1173"/>
      <c r="F555" s="598">
        <f>(F550/F553)+(F552/F553)</f>
        <v>13.172000000000001</v>
      </c>
      <c r="G555" s="582"/>
      <c r="H555" s="582"/>
      <c r="I555" s="582"/>
      <c r="J555" s="582"/>
    </row>
    <row r="556" spans="2:10" s="577" customFormat="1">
      <c r="B556" s="1092" t="s">
        <v>1211</v>
      </c>
      <c r="C556" s="1093"/>
      <c r="D556" s="1094"/>
      <c r="E556" s="1174"/>
      <c r="F556" s="598">
        <f>F551+F555</f>
        <v>48.171999999999997</v>
      </c>
      <c r="G556" s="582"/>
      <c r="H556" s="582"/>
      <c r="I556" s="582"/>
      <c r="J556" s="582"/>
    </row>
    <row r="557" spans="2:10" s="577" customFormat="1">
      <c r="B557" s="1092" t="s">
        <v>1212</v>
      </c>
      <c r="C557" s="1093"/>
      <c r="D557" s="1094"/>
      <c r="E557" s="1172">
        <v>0</v>
      </c>
      <c r="F557" s="598">
        <f>F556*(E557/100)</f>
        <v>0</v>
      </c>
      <c r="G557" s="582"/>
      <c r="H557" s="582"/>
      <c r="I557" s="582"/>
      <c r="J557" s="582"/>
    </row>
    <row r="558" spans="2:10" s="577" customFormat="1">
      <c r="B558" s="1095" t="s">
        <v>1213</v>
      </c>
      <c r="C558" s="1096"/>
      <c r="D558" s="1097"/>
      <c r="E558" s="1174"/>
      <c r="F558" s="600">
        <f>F556+F557</f>
        <v>48.171999999999997</v>
      </c>
      <c r="G558" s="582"/>
      <c r="H558" s="582"/>
      <c r="I558" s="582"/>
      <c r="J558" s="582"/>
    </row>
    <row r="559" spans="2:10" s="577" customFormat="1"/>
    <row r="560" spans="2:10" s="577" customFormat="1"/>
    <row r="561" spans="2:10" s="577" customFormat="1"/>
    <row r="562" spans="2:10" s="577" customFormat="1"/>
    <row r="563" spans="2:10" s="577" customFormat="1">
      <c r="B563" s="1190" t="s">
        <v>1299</v>
      </c>
      <c r="C563" s="1190"/>
      <c r="D563" s="1190"/>
      <c r="E563" s="1190"/>
      <c r="F563" s="1190"/>
      <c r="G563" s="1190"/>
      <c r="I563" s="582"/>
      <c r="J563" s="578" t="s">
        <v>1261</v>
      </c>
    </row>
    <row r="564" spans="2:10" s="577" customFormat="1">
      <c r="B564" s="1190"/>
      <c r="C564" s="1190"/>
      <c r="D564" s="1190"/>
      <c r="E564" s="1190"/>
      <c r="F564" s="1190"/>
      <c r="G564" s="1190"/>
      <c r="H564" s="582"/>
      <c r="I564" s="582"/>
      <c r="J564" s="582"/>
    </row>
    <row r="565" spans="2:10" s="577" customFormat="1">
      <c r="B565" s="582" t="s">
        <v>1300</v>
      </c>
      <c r="C565" s="582"/>
      <c r="D565" s="582"/>
      <c r="E565" s="582"/>
      <c r="F565" s="582"/>
      <c r="G565" s="582"/>
      <c r="H565" s="642"/>
      <c r="I565" s="582"/>
      <c r="J565" s="582"/>
    </row>
    <row r="566" spans="2:10" s="577" customFormat="1">
      <c r="B566" s="582"/>
      <c r="C566" s="582"/>
      <c r="D566" s="582"/>
      <c r="E566" s="582"/>
      <c r="F566" s="582"/>
      <c r="G566" s="582"/>
      <c r="H566" s="582"/>
      <c r="I566" s="582"/>
      <c r="J566" s="582"/>
    </row>
    <row r="567" spans="2:10" s="577" customFormat="1">
      <c r="B567" s="583" t="s">
        <v>1175</v>
      </c>
      <c r="C567" s="583"/>
      <c r="D567" s="584"/>
      <c r="E567" s="584"/>
      <c r="F567" s="584"/>
      <c r="G567" s="582"/>
      <c r="H567" s="582"/>
      <c r="I567" s="582"/>
      <c r="J567" s="582"/>
    </row>
    <row r="568" spans="2:10" s="577" customFormat="1">
      <c r="B568" s="584"/>
      <c r="C568" s="584"/>
      <c r="D568" s="584"/>
      <c r="E568" s="584"/>
      <c r="F568" s="584"/>
      <c r="G568" s="582"/>
      <c r="H568" s="582"/>
      <c r="I568" s="582"/>
      <c r="J568" s="582"/>
    </row>
    <row r="569" spans="2:10" s="577" customFormat="1">
      <c r="B569" s="585" t="s">
        <v>1176</v>
      </c>
      <c r="C569" s="1098" t="s">
        <v>1177</v>
      </c>
      <c r="D569" s="1099"/>
      <c r="E569" s="585" t="s">
        <v>1178</v>
      </c>
      <c r="F569" s="585" t="s">
        <v>1179</v>
      </c>
      <c r="G569" s="582"/>
      <c r="H569" s="582"/>
      <c r="I569" s="582"/>
      <c r="J569" s="582"/>
    </row>
    <row r="570" spans="2:10" s="577" customFormat="1" ht="30">
      <c r="B570" s="655" t="s">
        <v>1280</v>
      </c>
      <c r="C570" s="1102" t="s">
        <v>1281</v>
      </c>
      <c r="D570" s="1102"/>
      <c r="E570" s="591" t="s">
        <v>691</v>
      </c>
      <c r="F570" s="591">
        <v>10.99</v>
      </c>
      <c r="G570" s="582"/>
      <c r="H570" s="582"/>
      <c r="I570" s="582"/>
      <c r="J570" s="582"/>
    </row>
    <row r="571" spans="2:10" s="577" customFormat="1">
      <c r="B571" s="658" t="s">
        <v>1282</v>
      </c>
      <c r="C571" s="1106" t="s">
        <v>1283</v>
      </c>
      <c r="D571" s="1106"/>
      <c r="E571" s="591" t="s">
        <v>691</v>
      </c>
      <c r="F571" s="591">
        <v>13.49</v>
      </c>
      <c r="G571" s="582"/>
      <c r="H571" s="582"/>
      <c r="I571" s="582"/>
      <c r="J571" s="582"/>
    </row>
    <row r="572" spans="2:10" s="577" customFormat="1">
      <c r="B572" s="661" t="s">
        <v>1284</v>
      </c>
      <c r="C572" s="1102" t="s">
        <v>1285</v>
      </c>
      <c r="D572" s="1102"/>
      <c r="E572" s="591" t="s">
        <v>691</v>
      </c>
      <c r="F572" s="591">
        <v>9.99</v>
      </c>
      <c r="G572" s="582"/>
      <c r="H572" s="582"/>
      <c r="I572" s="582"/>
      <c r="J572" s="582"/>
    </row>
    <row r="573" spans="2:10" s="577" customFormat="1">
      <c r="B573" s="1100" t="s">
        <v>1186</v>
      </c>
      <c r="C573" s="1100"/>
      <c r="D573" s="1100"/>
      <c r="E573" s="1100"/>
      <c r="F573" s="637">
        <f>F572</f>
        <v>9.99</v>
      </c>
      <c r="G573" s="582"/>
      <c r="H573" s="582"/>
      <c r="I573" s="582"/>
      <c r="J573" s="582"/>
    </row>
    <row r="574" spans="2:10" s="577" customFormat="1">
      <c r="B574" s="582"/>
      <c r="C574" s="582"/>
      <c r="D574" s="582"/>
      <c r="E574" s="582"/>
      <c r="F574" s="582"/>
      <c r="G574" s="582"/>
      <c r="H574" s="582"/>
      <c r="I574" s="582"/>
      <c r="J574" s="582"/>
    </row>
    <row r="575" spans="2:10" s="577" customFormat="1">
      <c r="B575" s="585" t="s">
        <v>1187</v>
      </c>
      <c r="C575" s="585" t="s">
        <v>1178</v>
      </c>
      <c r="D575" s="585" t="s">
        <v>1188</v>
      </c>
      <c r="E575" s="585" t="s">
        <v>1189</v>
      </c>
      <c r="F575" s="585" t="s">
        <v>1190</v>
      </c>
      <c r="G575" s="585" t="s">
        <v>1191</v>
      </c>
      <c r="H575" s="585" t="s">
        <v>1192</v>
      </c>
      <c r="I575" s="585" t="s">
        <v>1179</v>
      </c>
      <c r="J575" s="585" t="s">
        <v>1193</v>
      </c>
    </row>
    <row r="576" spans="2:10" s="577" customFormat="1">
      <c r="B576" s="591" t="s">
        <v>1274</v>
      </c>
      <c r="C576" s="591" t="s">
        <v>1195</v>
      </c>
      <c r="D576" s="592">
        <v>10101</v>
      </c>
      <c r="E576" s="591">
        <v>0.2</v>
      </c>
      <c r="F576" s="593"/>
      <c r="G576" s="593"/>
      <c r="H576" s="593"/>
      <c r="I576" s="593">
        <v>15.08</v>
      </c>
      <c r="J576" s="593">
        <f>E576*I576</f>
        <v>3.016</v>
      </c>
    </row>
    <row r="577" spans="2:10" s="577" customFormat="1">
      <c r="B577" s="591" t="s">
        <v>1286</v>
      </c>
      <c r="C577" s="591" t="s">
        <v>1195</v>
      </c>
      <c r="D577" s="592">
        <v>10115</v>
      </c>
      <c r="E577" s="591">
        <v>0.2</v>
      </c>
      <c r="F577" s="593"/>
      <c r="G577" s="593"/>
      <c r="H577" s="593"/>
      <c r="I577" s="593">
        <v>17.850000000000001</v>
      </c>
      <c r="J577" s="593">
        <f>E577*I577</f>
        <v>3.5700000000000003</v>
      </c>
    </row>
    <row r="578" spans="2:10" s="577" customFormat="1">
      <c r="B578" s="1087" t="s">
        <v>1196</v>
      </c>
      <c r="C578" s="1087"/>
      <c r="D578" s="1087"/>
      <c r="E578" s="1087"/>
      <c r="F578" s="1087"/>
      <c r="G578" s="1087"/>
      <c r="H578" s="1087"/>
      <c r="I578" s="1087"/>
      <c r="J578" s="599">
        <f>J576+J577</f>
        <v>6.5860000000000003</v>
      </c>
    </row>
    <row r="579" spans="2:10" s="577" customFormat="1">
      <c r="B579" s="606"/>
      <c r="C579" s="606"/>
      <c r="D579" s="606"/>
      <c r="E579" s="606"/>
      <c r="F579" s="606"/>
      <c r="G579" s="606"/>
      <c r="H579" s="606"/>
      <c r="I579" s="606"/>
      <c r="J579" s="606"/>
    </row>
    <row r="580" spans="2:10" s="577" customFormat="1">
      <c r="B580" s="585" t="s">
        <v>1197</v>
      </c>
      <c r="C580" s="669" t="s">
        <v>1178</v>
      </c>
      <c r="D580" s="585" t="s">
        <v>1188</v>
      </c>
      <c r="E580" s="585" t="s">
        <v>1189</v>
      </c>
      <c r="F580" s="585" t="s">
        <v>1190</v>
      </c>
      <c r="G580" s="585" t="s">
        <v>1191</v>
      </c>
      <c r="H580" s="585" t="s">
        <v>1192</v>
      </c>
      <c r="I580" s="585" t="s">
        <v>1179</v>
      </c>
      <c r="J580" s="585" t="s">
        <v>1193</v>
      </c>
    </row>
    <row r="581" spans="2:10" s="577" customFormat="1">
      <c r="B581" s="1160" t="s">
        <v>1301</v>
      </c>
      <c r="C581" s="1162" t="s">
        <v>1199</v>
      </c>
      <c r="D581" s="1168" t="s">
        <v>1200</v>
      </c>
      <c r="E581" s="1178">
        <v>1</v>
      </c>
      <c r="F581" s="1162"/>
      <c r="G581" s="1162"/>
      <c r="H581" s="1162"/>
      <c r="I581" s="1162">
        <f>F573</f>
        <v>9.99</v>
      </c>
      <c r="J581" s="1162">
        <f>E581*I581</f>
        <v>9.99</v>
      </c>
    </row>
    <row r="582" spans="2:10" s="577" customFormat="1">
      <c r="B582" s="1160"/>
      <c r="C582" s="1163"/>
      <c r="D582" s="1169"/>
      <c r="E582" s="1179"/>
      <c r="F582" s="1163"/>
      <c r="G582" s="1163"/>
      <c r="H582" s="1163"/>
      <c r="I582" s="1163"/>
      <c r="J582" s="1163"/>
    </row>
    <row r="583" spans="2:10" s="577" customFormat="1">
      <c r="B583" s="1160"/>
      <c r="C583" s="1082" t="s">
        <v>1196</v>
      </c>
      <c r="D583" s="1087"/>
      <c r="E583" s="1087"/>
      <c r="F583" s="1087"/>
      <c r="G583" s="1087"/>
      <c r="H583" s="1087"/>
      <c r="I583" s="1087"/>
      <c r="J583" s="599">
        <f>J581</f>
        <v>9.99</v>
      </c>
    </row>
    <row r="584" spans="2:10" s="577" customFormat="1">
      <c r="B584" s="1088" t="s">
        <v>1201</v>
      </c>
      <c r="C584" s="1088"/>
      <c r="D584" s="1088"/>
      <c r="E584" s="1088"/>
      <c r="F584" s="1088"/>
      <c r="G584" s="582"/>
      <c r="H584" s="582"/>
      <c r="I584" s="582"/>
      <c r="J584" s="582"/>
    </row>
    <row r="585" spans="2:10" s="577" customFormat="1">
      <c r="B585" s="1089" t="s">
        <v>1202</v>
      </c>
      <c r="C585" s="1090"/>
      <c r="D585" s="1091"/>
      <c r="E585" s="596" t="s">
        <v>1203</v>
      </c>
      <c r="F585" s="596" t="s">
        <v>1204</v>
      </c>
      <c r="G585" s="582"/>
      <c r="H585" s="582"/>
      <c r="I585" s="582"/>
      <c r="J585" s="582"/>
    </row>
    <row r="586" spans="2:10" s="577" customFormat="1">
      <c r="B586" s="1092" t="s">
        <v>1205</v>
      </c>
      <c r="C586" s="1093"/>
      <c r="D586" s="1094"/>
      <c r="E586" s="1172">
        <v>128.33000000000001</v>
      </c>
      <c r="F586" s="598">
        <f>J578</f>
        <v>6.5860000000000003</v>
      </c>
      <c r="G586" s="582"/>
      <c r="H586" s="582"/>
      <c r="I586" s="582"/>
      <c r="J586" s="582"/>
    </row>
    <row r="587" spans="2:10" s="577" customFormat="1">
      <c r="B587" s="1092" t="s">
        <v>1206</v>
      </c>
      <c r="C587" s="1093"/>
      <c r="D587" s="1094"/>
      <c r="E587" s="1173"/>
      <c r="F587" s="598">
        <f>J583</f>
        <v>9.99</v>
      </c>
      <c r="G587" s="582"/>
      <c r="H587" s="582"/>
      <c r="I587" s="582"/>
      <c r="J587" s="582"/>
    </row>
    <row r="588" spans="2:10" s="577" customFormat="1">
      <c r="B588" s="1092" t="s">
        <v>1207</v>
      </c>
      <c r="C588" s="1093"/>
      <c r="D588" s="1094"/>
      <c r="E588" s="1173"/>
      <c r="F588" s="598">
        <v>0</v>
      </c>
      <c r="G588" s="582"/>
      <c r="H588" s="582"/>
      <c r="I588" s="582"/>
      <c r="J588" s="582"/>
    </row>
    <row r="589" spans="2:10" s="577" customFormat="1">
      <c r="B589" s="1092" t="s">
        <v>1208</v>
      </c>
      <c r="C589" s="1093"/>
      <c r="D589" s="1094"/>
      <c r="E589" s="1173"/>
      <c r="F589" s="598">
        <v>1</v>
      </c>
      <c r="G589" s="582"/>
      <c r="H589" s="582"/>
      <c r="I589" s="582"/>
      <c r="J589" s="582"/>
    </row>
    <row r="590" spans="2:10" s="577" customFormat="1">
      <c r="B590" s="1092" t="s">
        <v>1209</v>
      </c>
      <c r="C590" s="1093"/>
      <c r="D590" s="1094"/>
      <c r="E590" s="1173"/>
      <c r="F590" s="598">
        <f>F586+F588</f>
        <v>6.5860000000000003</v>
      </c>
      <c r="G590" s="582"/>
      <c r="H590" s="582"/>
      <c r="I590" s="582"/>
      <c r="J590" s="582"/>
    </row>
    <row r="591" spans="2:10" s="577" customFormat="1">
      <c r="B591" s="1092" t="s">
        <v>1210</v>
      </c>
      <c r="C591" s="1093"/>
      <c r="D591" s="1094"/>
      <c r="E591" s="1173"/>
      <c r="F591" s="598">
        <f>(F586/F589)+(F588/F589)</f>
        <v>6.5860000000000003</v>
      </c>
      <c r="G591" s="582"/>
      <c r="H591" s="582"/>
      <c r="I591" s="582"/>
      <c r="J591" s="582"/>
    </row>
    <row r="592" spans="2:10" s="577" customFormat="1">
      <c r="B592" s="1092" t="s">
        <v>1211</v>
      </c>
      <c r="C592" s="1093"/>
      <c r="D592" s="1094"/>
      <c r="E592" s="1174"/>
      <c r="F592" s="598">
        <f>F587+F591</f>
        <v>16.576000000000001</v>
      </c>
      <c r="G592" s="582"/>
      <c r="H592" s="582"/>
      <c r="I592" s="582"/>
      <c r="J592" s="582"/>
    </row>
    <row r="593" spans="2:10" s="577" customFormat="1">
      <c r="B593" s="1092" t="s">
        <v>1212</v>
      </c>
      <c r="C593" s="1093"/>
      <c r="D593" s="1094"/>
      <c r="E593" s="1172">
        <v>0</v>
      </c>
      <c r="F593" s="598">
        <f>F592*(E593/100)</f>
        <v>0</v>
      </c>
      <c r="G593" s="582"/>
      <c r="H593" s="582"/>
      <c r="I593" s="582"/>
      <c r="J593" s="582"/>
    </row>
    <row r="594" spans="2:10" s="577" customFormat="1">
      <c r="B594" s="1095" t="s">
        <v>1213</v>
      </c>
      <c r="C594" s="1096"/>
      <c r="D594" s="1097"/>
      <c r="E594" s="1174"/>
      <c r="F594" s="600">
        <f>F592+F593</f>
        <v>16.576000000000001</v>
      </c>
      <c r="G594" s="582"/>
      <c r="H594" s="582"/>
      <c r="I594" s="582"/>
      <c r="J594" s="582"/>
    </row>
    <row r="595" spans="2:10" s="577" customFormat="1"/>
    <row r="596" spans="2:10" s="577" customFormat="1"/>
    <row r="597" spans="2:10" s="577" customFormat="1"/>
    <row r="598" spans="2:10" s="577" customFormat="1"/>
    <row r="599" spans="2:10" s="577" customFormat="1">
      <c r="B599" s="1074" t="s">
        <v>1302</v>
      </c>
      <c r="C599" s="1074"/>
      <c r="D599" s="1074"/>
      <c r="E599" s="1074"/>
      <c r="F599" s="1074"/>
    </row>
    <row r="600" spans="2:10" s="577" customFormat="1">
      <c r="B600" s="670"/>
      <c r="C600" s="582"/>
      <c r="D600" s="582"/>
      <c r="E600" s="582"/>
      <c r="F600" s="582"/>
      <c r="G600" s="582"/>
      <c r="H600" s="582"/>
      <c r="I600" s="582"/>
      <c r="J600" s="582"/>
    </row>
    <row r="601" spans="2:10" s="577" customFormat="1">
      <c r="B601" s="578" t="s">
        <v>1303</v>
      </c>
      <c r="C601" s="582"/>
      <c r="D601" s="582"/>
      <c r="E601" s="582"/>
      <c r="F601" s="582"/>
      <c r="G601" s="582"/>
      <c r="H601" s="582"/>
      <c r="I601" s="582"/>
      <c r="J601" s="582"/>
    </row>
    <row r="602" spans="2:10" s="577" customFormat="1">
      <c r="B602" s="582" t="s">
        <v>1304</v>
      </c>
      <c r="C602" s="582"/>
      <c r="D602" s="582"/>
      <c r="E602" s="582"/>
      <c r="F602" s="582"/>
      <c r="G602" s="582"/>
      <c r="H602" s="642"/>
      <c r="I602" s="582"/>
      <c r="J602" s="582"/>
    </row>
    <row r="603" spans="2:10" s="577" customFormat="1">
      <c r="B603" s="582"/>
      <c r="C603" s="582"/>
      <c r="D603" s="582"/>
      <c r="E603" s="582"/>
      <c r="F603" s="582"/>
      <c r="G603" s="582"/>
      <c r="H603" s="582"/>
      <c r="I603" s="582"/>
      <c r="J603" s="582"/>
    </row>
    <row r="604" spans="2:10" s="577" customFormat="1">
      <c r="B604" s="583" t="s">
        <v>1175</v>
      </c>
      <c r="C604" s="583"/>
      <c r="D604" s="584"/>
      <c r="E604" s="584"/>
      <c r="F604" s="584"/>
      <c r="G604" s="582"/>
      <c r="H604" s="582"/>
      <c r="I604" s="582"/>
      <c r="J604" s="582"/>
    </row>
    <row r="605" spans="2:10" s="577" customFormat="1">
      <c r="B605" s="584"/>
      <c r="C605" s="584"/>
      <c r="D605" s="584"/>
      <c r="E605" s="584"/>
      <c r="F605" s="584"/>
      <c r="G605" s="582"/>
      <c r="H605" s="582"/>
      <c r="I605" s="582"/>
      <c r="J605" s="582"/>
    </row>
    <row r="606" spans="2:10" s="577" customFormat="1">
      <c r="B606" s="585" t="s">
        <v>1176</v>
      </c>
      <c r="C606" s="1098" t="s">
        <v>1177</v>
      </c>
      <c r="D606" s="1099"/>
      <c r="E606" s="585" t="s">
        <v>1178</v>
      </c>
      <c r="F606" s="585" t="s">
        <v>1179</v>
      </c>
      <c r="G606" s="582"/>
      <c r="H606" s="582"/>
      <c r="I606" s="582"/>
      <c r="J606" s="582"/>
    </row>
    <row r="607" spans="2:10" s="577" customFormat="1">
      <c r="B607" s="671" t="s">
        <v>1305</v>
      </c>
      <c r="C607" s="1107" t="s">
        <v>1306</v>
      </c>
      <c r="D607" s="1108"/>
      <c r="E607" s="588" t="s">
        <v>691</v>
      </c>
      <c r="F607" s="588">
        <v>1260</v>
      </c>
      <c r="G607" s="582"/>
      <c r="H607" s="582"/>
      <c r="I607" s="582"/>
      <c r="J607" s="582"/>
    </row>
    <row r="608" spans="2:10" s="577" customFormat="1" ht="28.5">
      <c r="B608" s="594" t="s">
        <v>1307</v>
      </c>
      <c r="C608" s="1107" t="s">
        <v>1308</v>
      </c>
      <c r="D608" s="1108"/>
      <c r="E608" s="588" t="s">
        <v>691</v>
      </c>
      <c r="F608" s="588">
        <v>1138.31</v>
      </c>
      <c r="G608" s="582"/>
      <c r="H608" s="582"/>
      <c r="I608" s="582"/>
      <c r="J608" s="582"/>
    </row>
    <row r="609" spans="2:10" s="577" customFormat="1" ht="30">
      <c r="B609" s="655" t="s">
        <v>1309</v>
      </c>
      <c r="C609" s="1107" t="s">
        <v>1310</v>
      </c>
      <c r="D609" s="1108"/>
      <c r="E609" s="588" t="s">
        <v>691</v>
      </c>
      <c r="F609" s="588">
        <v>1300.98</v>
      </c>
      <c r="G609" s="582"/>
      <c r="H609" s="582"/>
      <c r="I609" s="582"/>
      <c r="J609" s="582"/>
    </row>
    <row r="610" spans="2:10" s="577" customFormat="1" ht="15.75">
      <c r="B610" s="1109" t="s">
        <v>1186</v>
      </c>
      <c r="C610" s="1109"/>
      <c r="D610" s="1109"/>
      <c r="E610" s="1109"/>
      <c r="F610" s="672">
        <f>F608</f>
        <v>1138.31</v>
      </c>
      <c r="G610" s="582"/>
      <c r="H610" s="582"/>
      <c r="I610" s="582"/>
      <c r="J610" s="582"/>
    </row>
    <row r="611" spans="2:10" s="577" customFormat="1">
      <c r="B611" s="582"/>
      <c r="C611" s="582"/>
      <c r="D611" s="582"/>
      <c r="E611" s="582"/>
      <c r="F611" s="582"/>
      <c r="G611" s="582"/>
      <c r="H611" s="582"/>
      <c r="I611" s="582"/>
      <c r="J611" s="582"/>
    </row>
    <row r="612" spans="2:10" s="577" customFormat="1">
      <c r="B612" s="585" t="s">
        <v>1187</v>
      </c>
      <c r="C612" s="585" t="s">
        <v>1178</v>
      </c>
      <c r="D612" s="585" t="s">
        <v>1188</v>
      </c>
      <c r="E612" s="585" t="s">
        <v>1189</v>
      </c>
      <c r="F612" s="585" t="s">
        <v>1190</v>
      </c>
      <c r="G612" s="585" t="s">
        <v>1191</v>
      </c>
      <c r="H612" s="585" t="s">
        <v>1192</v>
      </c>
      <c r="I612" s="585" t="s">
        <v>1179</v>
      </c>
      <c r="J612" s="585" t="s">
        <v>1193</v>
      </c>
    </row>
    <row r="613" spans="2:10" s="577" customFormat="1" ht="23.25" customHeight="1">
      <c r="B613" s="591" t="s">
        <v>1286</v>
      </c>
      <c r="C613" s="591" t="s">
        <v>1195</v>
      </c>
      <c r="D613" s="673" t="s">
        <v>1311</v>
      </c>
      <c r="E613" s="651">
        <v>1</v>
      </c>
      <c r="F613" s="593"/>
      <c r="G613" s="593"/>
      <c r="H613" s="593"/>
      <c r="I613" s="588">
        <v>22.54</v>
      </c>
      <c r="J613" s="588">
        <f>E613*I613</f>
        <v>22.54</v>
      </c>
    </row>
    <row r="614" spans="2:10" s="577" customFormat="1" ht="28.5">
      <c r="B614" s="594" t="s">
        <v>1312</v>
      </c>
      <c r="C614" s="591" t="s">
        <v>1195</v>
      </c>
      <c r="D614" s="673" t="s">
        <v>1313</v>
      </c>
      <c r="E614" s="651">
        <v>1</v>
      </c>
      <c r="F614" s="593"/>
      <c r="G614" s="593"/>
      <c r="H614" s="593"/>
      <c r="I614" s="588">
        <v>20.98</v>
      </c>
      <c r="J614" s="588">
        <f>E614*I614</f>
        <v>20.98</v>
      </c>
    </row>
    <row r="615" spans="2:10" s="577" customFormat="1">
      <c r="B615" s="591" t="s">
        <v>1314</v>
      </c>
      <c r="C615" s="591" t="s">
        <v>1195</v>
      </c>
      <c r="D615" s="673" t="s">
        <v>1315</v>
      </c>
      <c r="E615" s="651">
        <v>2</v>
      </c>
      <c r="F615" s="593"/>
      <c r="G615" s="593"/>
      <c r="H615" s="593"/>
      <c r="I615" s="588">
        <v>16.5</v>
      </c>
      <c r="J615" s="588">
        <f>E615*I615</f>
        <v>33</v>
      </c>
    </row>
    <row r="616" spans="2:10" s="577" customFormat="1">
      <c r="B616" s="1087" t="s">
        <v>1196</v>
      </c>
      <c r="C616" s="1087"/>
      <c r="D616" s="1087"/>
      <c r="E616" s="1087"/>
      <c r="F616" s="1087"/>
      <c r="G616" s="1087"/>
      <c r="H616" s="1087"/>
      <c r="I616" s="1087"/>
      <c r="J616" s="668">
        <f>SUM(J613:J615)</f>
        <v>76.52</v>
      </c>
    </row>
    <row r="617" spans="2:10" s="577" customFormat="1">
      <c r="B617" s="606"/>
      <c r="C617" s="606"/>
      <c r="D617" s="606"/>
      <c r="E617" s="606"/>
      <c r="F617" s="606"/>
      <c r="G617" s="606"/>
      <c r="H617" s="606"/>
      <c r="I617" s="606"/>
      <c r="J617" s="606"/>
    </row>
    <row r="618" spans="2:10" s="577" customFormat="1">
      <c r="B618" s="585" t="s">
        <v>1197</v>
      </c>
      <c r="C618" s="585" t="s">
        <v>1178</v>
      </c>
      <c r="D618" s="585" t="s">
        <v>1188</v>
      </c>
      <c r="E618" s="585" t="s">
        <v>1189</v>
      </c>
      <c r="F618" s="585" t="s">
        <v>1190</v>
      </c>
      <c r="G618" s="585" t="s">
        <v>1191</v>
      </c>
      <c r="H618" s="585" t="s">
        <v>1192</v>
      </c>
      <c r="I618" s="585" t="s">
        <v>1179</v>
      </c>
      <c r="J618" s="585" t="s">
        <v>1193</v>
      </c>
    </row>
    <row r="619" spans="2:10" s="577" customFormat="1">
      <c r="B619" s="591" t="s">
        <v>1316</v>
      </c>
      <c r="C619" s="591" t="s">
        <v>1199</v>
      </c>
      <c r="D619" s="595" t="s">
        <v>1200</v>
      </c>
      <c r="E619" s="646">
        <v>1</v>
      </c>
      <c r="F619" s="593"/>
      <c r="G619" s="593"/>
      <c r="H619" s="593"/>
      <c r="I619" s="593">
        <f>F608</f>
        <v>1138.31</v>
      </c>
      <c r="J619" s="593">
        <f>E619*I619</f>
        <v>1138.31</v>
      </c>
    </row>
    <row r="620" spans="2:10" s="577" customFormat="1">
      <c r="B620" s="1087" t="s">
        <v>1196</v>
      </c>
      <c r="C620" s="1087"/>
      <c r="D620" s="1087"/>
      <c r="E620" s="1087"/>
      <c r="F620" s="1087"/>
      <c r="G620" s="1087"/>
      <c r="H620" s="1087"/>
      <c r="I620" s="1087"/>
      <c r="J620" s="599">
        <f>J619</f>
        <v>1138.31</v>
      </c>
    </row>
    <row r="621" spans="2:10" s="577" customFormat="1">
      <c r="B621" s="582"/>
      <c r="C621" s="582"/>
      <c r="D621" s="582"/>
      <c r="E621" s="582"/>
      <c r="F621" s="582"/>
      <c r="G621" s="582"/>
      <c r="H621" s="582"/>
      <c r="I621" s="582"/>
      <c r="J621" s="582"/>
    </row>
    <row r="622" spans="2:10" s="577" customFormat="1">
      <c r="B622" s="1088" t="s">
        <v>1201</v>
      </c>
      <c r="C622" s="1088"/>
      <c r="D622" s="1088"/>
      <c r="E622" s="1088"/>
      <c r="F622" s="1088"/>
      <c r="G622" s="582"/>
      <c r="H622" s="582"/>
      <c r="I622" s="582"/>
      <c r="J622" s="582"/>
    </row>
    <row r="623" spans="2:10" s="577" customFormat="1">
      <c r="B623" s="1089" t="s">
        <v>1202</v>
      </c>
      <c r="C623" s="1090"/>
      <c r="D623" s="1091"/>
      <c r="E623" s="596" t="s">
        <v>1203</v>
      </c>
      <c r="F623" s="596" t="s">
        <v>1204</v>
      </c>
      <c r="G623" s="582"/>
      <c r="H623" s="582"/>
      <c r="I623" s="582"/>
      <c r="J623" s="582"/>
    </row>
    <row r="624" spans="2:10" s="577" customFormat="1">
      <c r="B624" s="1092" t="s">
        <v>1205</v>
      </c>
      <c r="C624" s="1093"/>
      <c r="D624" s="1094"/>
      <c r="E624" s="1172">
        <v>128.33000000000001</v>
      </c>
      <c r="F624" s="598">
        <f>J616</f>
        <v>76.52</v>
      </c>
      <c r="G624" s="582"/>
      <c r="H624" s="582"/>
      <c r="I624" s="582"/>
      <c r="J624" s="582"/>
    </row>
    <row r="625" spans="2:10" s="577" customFormat="1">
      <c r="B625" s="1092" t="s">
        <v>1206</v>
      </c>
      <c r="C625" s="1093"/>
      <c r="D625" s="1094"/>
      <c r="E625" s="1173"/>
      <c r="F625" s="598">
        <f>J620</f>
        <v>1138.31</v>
      </c>
      <c r="G625" s="582"/>
      <c r="H625" s="582"/>
      <c r="I625" s="582"/>
      <c r="J625" s="582"/>
    </row>
    <row r="626" spans="2:10" s="577" customFormat="1">
      <c r="B626" s="1092" t="s">
        <v>1207</v>
      </c>
      <c r="C626" s="1093"/>
      <c r="D626" s="1094"/>
      <c r="E626" s="1173"/>
      <c r="F626" s="598">
        <v>0</v>
      </c>
      <c r="G626" s="582"/>
      <c r="H626" s="582"/>
      <c r="I626" s="582"/>
      <c r="J626" s="582"/>
    </row>
    <row r="627" spans="2:10" s="577" customFormat="1">
      <c r="B627" s="1092" t="s">
        <v>1208</v>
      </c>
      <c r="C627" s="1093"/>
      <c r="D627" s="1094"/>
      <c r="E627" s="1173"/>
      <c r="F627" s="598">
        <v>1</v>
      </c>
      <c r="G627" s="582"/>
      <c r="H627" s="582"/>
      <c r="I627" s="582"/>
      <c r="J627" s="582"/>
    </row>
    <row r="628" spans="2:10" s="577" customFormat="1">
      <c r="B628" s="1092" t="s">
        <v>1209</v>
      </c>
      <c r="C628" s="1093"/>
      <c r="D628" s="1094"/>
      <c r="E628" s="1173"/>
      <c r="F628" s="598">
        <f>F624+F626</f>
        <v>76.52</v>
      </c>
      <c r="G628" s="582"/>
      <c r="H628" s="582"/>
      <c r="I628" s="582"/>
      <c r="J628" s="582"/>
    </row>
    <row r="629" spans="2:10" s="577" customFormat="1">
      <c r="B629" s="1092" t="s">
        <v>1210</v>
      </c>
      <c r="C629" s="1093"/>
      <c r="D629" s="1094"/>
      <c r="E629" s="1173"/>
      <c r="F629" s="598">
        <f>(F624/F627)+(F626/F627)</f>
        <v>76.52</v>
      </c>
      <c r="G629" s="582"/>
      <c r="H629" s="582"/>
      <c r="I629" s="582"/>
      <c r="J629" s="582"/>
    </row>
    <row r="630" spans="2:10" s="577" customFormat="1">
      <c r="B630" s="1092" t="s">
        <v>1211</v>
      </c>
      <c r="C630" s="1093"/>
      <c r="D630" s="1094"/>
      <c r="E630" s="1174"/>
      <c r="F630" s="598">
        <f>F625+F629</f>
        <v>1214.83</v>
      </c>
      <c r="G630" s="582"/>
      <c r="H630" s="582"/>
      <c r="I630" s="582"/>
      <c r="J630" s="582"/>
    </row>
    <row r="631" spans="2:10" s="577" customFormat="1">
      <c r="B631" s="1092" t="s">
        <v>1212</v>
      </c>
      <c r="C631" s="1093"/>
      <c r="D631" s="1094"/>
      <c r="E631" s="1172">
        <v>0</v>
      </c>
      <c r="F631" s="598">
        <f>F630*(E631/100)</f>
        <v>0</v>
      </c>
      <c r="G631" s="582"/>
      <c r="H631" s="582"/>
      <c r="I631" s="582"/>
      <c r="J631" s="582"/>
    </row>
    <row r="632" spans="2:10" s="577" customFormat="1">
      <c r="B632" s="1095" t="s">
        <v>1213</v>
      </c>
      <c r="C632" s="1096"/>
      <c r="D632" s="1097"/>
      <c r="E632" s="1174"/>
      <c r="F632" s="600">
        <f>F630+F631</f>
        <v>1214.83</v>
      </c>
      <c r="G632" s="582"/>
      <c r="H632" s="582"/>
      <c r="I632" s="582"/>
      <c r="J632" s="582"/>
    </row>
    <row r="633" spans="2:10" s="577" customFormat="1"/>
    <row r="634" spans="2:10" s="577" customFormat="1"/>
    <row r="635" spans="2:10" s="577" customFormat="1"/>
    <row r="636" spans="2:10" s="577" customFormat="1"/>
    <row r="637" spans="2:10" s="577" customFormat="1">
      <c r="B637" s="578" t="s">
        <v>1317</v>
      </c>
      <c r="C637" s="582"/>
      <c r="D637" s="582"/>
      <c r="E637" s="582"/>
      <c r="F637" s="582"/>
      <c r="H637" s="674" t="s">
        <v>1261</v>
      </c>
      <c r="I637" s="582"/>
      <c r="J637" s="582"/>
    </row>
    <row r="638" spans="2:10" s="577" customFormat="1">
      <c r="B638" s="582" t="s">
        <v>1318</v>
      </c>
      <c r="C638" s="582"/>
      <c r="D638" s="582"/>
      <c r="E638" s="582"/>
      <c r="F638" s="582"/>
      <c r="G638" s="582"/>
      <c r="H638" s="642"/>
      <c r="I638" s="582"/>
      <c r="J638" s="582"/>
    </row>
    <row r="639" spans="2:10" s="577" customFormat="1">
      <c r="B639" s="582"/>
      <c r="C639" s="582"/>
      <c r="D639" s="582"/>
      <c r="E639" s="582"/>
      <c r="F639" s="582"/>
      <c r="G639" s="582"/>
      <c r="H639" s="582"/>
      <c r="I639" s="582"/>
      <c r="J639" s="582"/>
    </row>
    <row r="640" spans="2:10" s="577" customFormat="1">
      <c r="B640" s="583" t="s">
        <v>1175</v>
      </c>
      <c r="C640" s="583"/>
      <c r="D640" s="584"/>
      <c r="E640" s="584"/>
      <c r="F640" s="584"/>
      <c r="G640" s="582"/>
      <c r="H640" s="582"/>
      <c r="I640" s="582"/>
      <c r="J640" s="582"/>
    </row>
    <row r="641" spans="2:10" s="577" customFormat="1">
      <c r="B641" s="584"/>
      <c r="C641" s="584"/>
      <c r="D641" s="584"/>
      <c r="E641" s="584"/>
      <c r="F641" s="584"/>
      <c r="G641" s="582"/>
      <c r="H641" s="582"/>
      <c r="I641" s="582"/>
      <c r="J641" s="582"/>
    </row>
    <row r="642" spans="2:10" s="577" customFormat="1">
      <c r="B642" s="585" t="s">
        <v>1176</v>
      </c>
      <c r="C642" s="1075" t="s">
        <v>1177</v>
      </c>
      <c r="D642" s="1075"/>
      <c r="E642" s="585" t="s">
        <v>1178</v>
      </c>
      <c r="F642" s="585" t="s">
        <v>1179</v>
      </c>
      <c r="G642" s="582"/>
      <c r="H642" s="582"/>
      <c r="I642" s="582"/>
      <c r="J642" s="582"/>
    </row>
    <row r="643" spans="2:10" s="577" customFormat="1">
      <c r="B643" s="671" t="s">
        <v>1319</v>
      </c>
      <c r="C643" s="1102" t="s">
        <v>1306</v>
      </c>
      <c r="D643" s="1102"/>
      <c r="E643" s="591" t="s">
        <v>691</v>
      </c>
      <c r="F643" s="591">
        <v>291</v>
      </c>
      <c r="G643" s="582"/>
      <c r="H643" s="582"/>
      <c r="I643" s="582"/>
      <c r="J643" s="582"/>
    </row>
    <row r="644" spans="2:10" s="577" customFormat="1">
      <c r="B644" s="594" t="s">
        <v>1320</v>
      </c>
      <c r="C644" s="1102" t="s">
        <v>1308</v>
      </c>
      <c r="D644" s="1102"/>
      <c r="E644" s="591" t="s">
        <v>691</v>
      </c>
      <c r="F644" s="591">
        <v>322.99</v>
      </c>
      <c r="G644" s="582"/>
      <c r="H644" s="582"/>
      <c r="I644" s="582"/>
      <c r="J644" s="582"/>
    </row>
    <row r="645" spans="2:10" s="577" customFormat="1">
      <c r="B645" s="675" t="s">
        <v>1321</v>
      </c>
      <c r="C645" s="1102" t="s">
        <v>1310</v>
      </c>
      <c r="D645" s="1102"/>
      <c r="E645" s="591" t="s">
        <v>691</v>
      </c>
      <c r="F645" s="591">
        <v>308.99</v>
      </c>
      <c r="G645" s="582"/>
      <c r="H645" s="582"/>
      <c r="I645" s="582"/>
      <c r="J645" s="582"/>
    </row>
    <row r="646" spans="2:10" s="577" customFormat="1" ht="15.75">
      <c r="B646" s="1110" t="s">
        <v>1186</v>
      </c>
      <c r="C646" s="1110"/>
      <c r="D646" s="1110"/>
      <c r="E646" s="1110"/>
      <c r="F646" s="590">
        <f>F643</f>
        <v>291</v>
      </c>
      <c r="G646" s="582"/>
      <c r="H646" s="582"/>
      <c r="I646" s="582"/>
      <c r="J646" s="582"/>
    </row>
    <row r="647" spans="2:10" s="577" customFormat="1">
      <c r="B647" s="582"/>
      <c r="C647" s="582"/>
      <c r="D647" s="582"/>
      <c r="E647" s="582"/>
      <c r="F647" s="582"/>
      <c r="G647" s="582"/>
      <c r="H647" s="582"/>
      <c r="I647" s="582"/>
      <c r="J647" s="582"/>
    </row>
    <row r="648" spans="2:10" s="577" customFormat="1">
      <c r="B648" s="585" t="s">
        <v>1187</v>
      </c>
      <c r="C648" s="585" t="s">
        <v>1178</v>
      </c>
      <c r="D648" s="585" t="s">
        <v>1188</v>
      </c>
      <c r="E648" s="585" t="s">
        <v>1189</v>
      </c>
      <c r="F648" s="585" t="s">
        <v>1190</v>
      </c>
      <c r="G648" s="585" t="s">
        <v>1191</v>
      </c>
      <c r="H648" s="585" t="s">
        <v>1192</v>
      </c>
      <c r="I648" s="585" t="s">
        <v>1179</v>
      </c>
      <c r="J648" s="585" t="s">
        <v>1193</v>
      </c>
    </row>
    <row r="649" spans="2:10" s="577" customFormat="1" ht="28.5">
      <c r="B649" s="591" t="s">
        <v>1312</v>
      </c>
      <c r="C649" s="588" t="s">
        <v>1195</v>
      </c>
      <c r="D649" s="673">
        <v>88267</v>
      </c>
      <c r="E649" s="676">
        <v>0.26400000000000001</v>
      </c>
      <c r="F649" s="588"/>
      <c r="G649" s="588"/>
      <c r="H649" s="588"/>
      <c r="I649" s="588">
        <v>20.98</v>
      </c>
      <c r="J649" s="588">
        <f>E649*I649</f>
        <v>5.5387200000000005</v>
      </c>
    </row>
    <row r="650" spans="2:10" s="577" customFormat="1">
      <c r="B650" s="591" t="s">
        <v>1322</v>
      </c>
      <c r="C650" s="588" t="s">
        <v>1195</v>
      </c>
      <c r="D650" s="673">
        <v>88248</v>
      </c>
      <c r="E650" s="676">
        <v>0.26400000000000001</v>
      </c>
      <c r="F650" s="588"/>
      <c r="G650" s="588"/>
      <c r="H650" s="588"/>
      <c r="I650" s="588">
        <v>16.309999999999999</v>
      </c>
      <c r="J650" s="588">
        <f>E650*I650</f>
        <v>4.3058399999999999</v>
      </c>
    </row>
    <row r="651" spans="2:10" s="577" customFormat="1">
      <c r="B651" s="1087" t="s">
        <v>1196</v>
      </c>
      <c r="C651" s="1087"/>
      <c r="D651" s="1087"/>
      <c r="E651" s="1087"/>
      <c r="F651" s="1087"/>
      <c r="G651" s="1087"/>
      <c r="H651" s="1087"/>
      <c r="I651" s="1087"/>
      <c r="J651" s="599">
        <f>SUM(J649:J650)</f>
        <v>9.8445600000000013</v>
      </c>
    </row>
    <row r="652" spans="2:10" s="577" customFormat="1">
      <c r="B652" s="606"/>
      <c r="C652" s="606"/>
      <c r="D652" s="606"/>
      <c r="E652" s="606"/>
      <c r="F652" s="606"/>
      <c r="G652" s="606"/>
      <c r="H652" s="606"/>
      <c r="I652" s="606"/>
      <c r="J652" s="606"/>
    </row>
    <row r="653" spans="2:10" s="577" customFormat="1">
      <c r="B653" s="585" t="s">
        <v>1197</v>
      </c>
      <c r="C653" s="585" t="s">
        <v>1178</v>
      </c>
      <c r="D653" s="585" t="s">
        <v>1188</v>
      </c>
      <c r="E653" s="585" t="s">
        <v>1189</v>
      </c>
      <c r="F653" s="585" t="s">
        <v>1190</v>
      </c>
      <c r="G653" s="585" t="s">
        <v>1191</v>
      </c>
      <c r="H653" s="585" t="s">
        <v>1192</v>
      </c>
      <c r="I653" s="585" t="s">
        <v>1179</v>
      </c>
      <c r="J653" s="585" t="s">
        <v>1193</v>
      </c>
    </row>
    <row r="654" spans="2:10" s="577" customFormat="1" ht="28.5">
      <c r="B654" s="677" t="s">
        <v>1323</v>
      </c>
      <c r="C654" s="591" t="s">
        <v>1199</v>
      </c>
      <c r="D654" s="595" t="s">
        <v>1200</v>
      </c>
      <c r="E654" s="646">
        <v>1</v>
      </c>
      <c r="F654" s="593"/>
      <c r="G654" s="593"/>
      <c r="H654" s="593"/>
      <c r="I654" s="593">
        <f>F646</f>
        <v>291</v>
      </c>
      <c r="J654" s="593">
        <f>E654*I654</f>
        <v>291</v>
      </c>
    </row>
    <row r="655" spans="2:10" s="577" customFormat="1">
      <c r="B655" s="1087" t="s">
        <v>1196</v>
      </c>
      <c r="C655" s="1087"/>
      <c r="D655" s="1087"/>
      <c r="E655" s="1087"/>
      <c r="F655" s="1087"/>
      <c r="G655" s="1087"/>
      <c r="H655" s="1087"/>
      <c r="I655" s="1087"/>
      <c r="J655" s="599">
        <f>J654</f>
        <v>291</v>
      </c>
    </row>
    <row r="656" spans="2:10" s="577" customFormat="1">
      <c r="B656" s="582"/>
      <c r="C656" s="582"/>
      <c r="D656" s="582"/>
      <c r="E656" s="582"/>
      <c r="F656" s="582"/>
      <c r="G656" s="582"/>
      <c r="H656" s="582"/>
      <c r="I656" s="582"/>
      <c r="J656" s="582"/>
    </row>
    <row r="657" spans="2:10" s="577" customFormat="1">
      <c r="B657" s="1088" t="s">
        <v>1201</v>
      </c>
      <c r="C657" s="1088"/>
      <c r="D657" s="1088"/>
      <c r="E657" s="1088"/>
      <c r="F657" s="1088"/>
      <c r="G657" s="582"/>
      <c r="H657" s="582"/>
      <c r="I657" s="582"/>
      <c r="J657" s="582"/>
    </row>
    <row r="658" spans="2:10" s="577" customFormat="1">
      <c r="B658" s="1089" t="s">
        <v>1202</v>
      </c>
      <c r="C658" s="1090"/>
      <c r="D658" s="1091"/>
      <c r="E658" s="596" t="s">
        <v>1203</v>
      </c>
      <c r="F658" s="596" t="s">
        <v>1204</v>
      </c>
      <c r="G658" s="582"/>
      <c r="H658" s="582"/>
      <c r="I658" s="582"/>
      <c r="J658" s="582"/>
    </row>
    <row r="659" spans="2:10" s="577" customFormat="1">
      <c r="B659" s="1092" t="s">
        <v>1205</v>
      </c>
      <c r="C659" s="1093"/>
      <c r="D659" s="1094"/>
      <c r="E659" s="1172">
        <v>128.33000000000001</v>
      </c>
      <c r="F659" s="598">
        <f>J651</f>
        <v>9.8445600000000013</v>
      </c>
      <c r="G659" s="582"/>
      <c r="H659" s="582"/>
      <c r="I659" s="582"/>
      <c r="J659" s="582"/>
    </row>
    <row r="660" spans="2:10" s="577" customFormat="1">
      <c r="B660" s="1092" t="s">
        <v>1206</v>
      </c>
      <c r="C660" s="1093"/>
      <c r="D660" s="1094"/>
      <c r="E660" s="1173"/>
      <c r="F660" s="598">
        <f>J655</f>
        <v>291</v>
      </c>
      <c r="G660" s="582"/>
      <c r="H660" s="582"/>
      <c r="I660" s="582"/>
      <c r="J660" s="582"/>
    </row>
    <row r="661" spans="2:10" s="577" customFormat="1">
      <c r="B661" s="1092" t="s">
        <v>1207</v>
      </c>
      <c r="C661" s="1093"/>
      <c r="D661" s="1094"/>
      <c r="E661" s="1173"/>
      <c r="F661" s="598">
        <v>0</v>
      </c>
      <c r="G661" s="582"/>
      <c r="H661" s="582"/>
      <c r="I661" s="582"/>
      <c r="J661" s="582"/>
    </row>
    <row r="662" spans="2:10" s="577" customFormat="1">
      <c r="B662" s="1092" t="s">
        <v>1208</v>
      </c>
      <c r="C662" s="1093"/>
      <c r="D662" s="1094"/>
      <c r="E662" s="1173"/>
      <c r="F662" s="598">
        <v>1</v>
      </c>
      <c r="G662" s="582"/>
      <c r="H662" s="582"/>
      <c r="I662" s="582"/>
      <c r="J662" s="582"/>
    </row>
    <row r="663" spans="2:10" s="577" customFormat="1">
      <c r="B663" s="1092" t="s">
        <v>1209</v>
      </c>
      <c r="C663" s="1093"/>
      <c r="D663" s="1094"/>
      <c r="E663" s="1173"/>
      <c r="F663" s="598">
        <f>F659+F661</f>
        <v>9.8445600000000013</v>
      </c>
      <c r="G663" s="582"/>
      <c r="H663" s="582"/>
      <c r="I663" s="582"/>
      <c r="J663" s="582"/>
    </row>
    <row r="664" spans="2:10" s="577" customFormat="1">
      <c r="B664" s="1092" t="s">
        <v>1210</v>
      </c>
      <c r="C664" s="1093"/>
      <c r="D664" s="1094"/>
      <c r="E664" s="1173"/>
      <c r="F664" s="598">
        <f>(F659/F662)+(F661/F662)</f>
        <v>9.8445600000000013</v>
      </c>
      <c r="G664" s="582"/>
      <c r="H664" s="582"/>
      <c r="I664" s="582"/>
      <c r="J664" s="582"/>
    </row>
    <row r="665" spans="2:10" s="577" customFormat="1">
      <c r="B665" s="1092" t="s">
        <v>1211</v>
      </c>
      <c r="C665" s="1093"/>
      <c r="D665" s="1094"/>
      <c r="E665" s="1174"/>
      <c r="F665" s="598">
        <f>F660+F664</f>
        <v>300.84456</v>
      </c>
      <c r="G665" s="582"/>
      <c r="H665" s="582"/>
      <c r="I665" s="582"/>
      <c r="J665" s="582"/>
    </row>
    <row r="666" spans="2:10" s="577" customFormat="1">
      <c r="B666" s="1092" t="s">
        <v>1212</v>
      </c>
      <c r="C666" s="1093"/>
      <c r="D666" s="1094"/>
      <c r="E666" s="1172">
        <v>0</v>
      </c>
      <c r="F666" s="598">
        <f>F665*(E666/100)</f>
        <v>0</v>
      </c>
      <c r="G666" s="582"/>
      <c r="H666" s="582"/>
      <c r="I666" s="582"/>
      <c r="J666" s="582"/>
    </row>
    <row r="667" spans="2:10" s="577" customFormat="1">
      <c r="B667" s="1095" t="s">
        <v>1213</v>
      </c>
      <c r="C667" s="1096"/>
      <c r="D667" s="1097"/>
      <c r="E667" s="1174"/>
      <c r="F667" s="600">
        <f>F665+F666</f>
        <v>300.84456</v>
      </c>
      <c r="G667" s="582"/>
      <c r="H667" s="582"/>
      <c r="I667" s="582"/>
      <c r="J667" s="582"/>
    </row>
    <row r="668" spans="2:10" s="577" customFormat="1"/>
    <row r="669" spans="2:10" s="577" customFormat="1"/>
    <row r="670" spans="2:10" s="577" customFormat="1"/>
    <row r="671" spans="2:10" s="577" customFormat="1"/>
    <row r="672" spans="2:10" s="577" customFormat="1">
      <c r="B672" s="1074" t="s">
        <v>1324</v>
      </c>
      <c r="C672" s="1074"/>
      <c r="D672" s="1074"/>
      <c r="E672" s="1074"/>
      <c r="F672" s="1074"/>
    </row>
    <row r="673" spans="2:10" s="577" customFormat="1">
      <c r="B673" s="670"/>
      <c r="C673" s="582"/>
      <c r="D673" s="582"/>
      <c r="E673" s="582"/>
      <c r="F673" s="582"/>
      <c r="G673" s="582"/>
      <c r="H673" s="582"/>
      <c r="I673" s="582"/>
      <c r="J673" s="582"/>
    </row>
    <row r="674" spans="2:10" s="577" customFormat="1"/>
    <row r="675" spans="2:10" s="577" customFormat="1"/>
    <row r="676" spans="2:10" s="577" customFormat="1"/>
    <row r="677" spans="2:10" s="577" customFormat="1">
      <c r="B677" s="678"/>
      <c r="C677" s="607"/>
      <c r="D677" s="607"/>
      <c r="E677" s="607"/>
      <c r="F677" s="607"/>
      <c r="G677" s="607"/>
      <c r="H677" s="607"/>
      <c r="I677" s="607"/>
      <c r="J677" s="582"/>
    </row>
    <row r="678" spans="2:10" s="577" customFormat="1"/>
    <row r="679" spans="2:10" s="577" customFormat="1">
      <c r="B679" s="578" t="s">
        <v>1325</v>
      </c>
      <c r="C679" s="582"/>
      <c r="D679" s="582"/>
      <c r="E679" s="582"/>
      <c r="F679" s="582"/>
      <c r="G679" s="582"/>
      <c r="H679" s="582"/>
      <c r="I679" s="582"/>
      <c r="J679" s="582"/>
    </row>
    <row r="680" spans="2:10" s="577" customFormat="1">
      <c r="B680" s="582" t="s">
        <v>1326</v>
      </c>
      <c r="C680" s="582"/>
      <c r="D680" s="582"/>
      <c r="E680" s="582"/>
      <c r="F680" s="582"/>
      <c r="G680" s="582"/>
      <c r="H680" s="642"/>
      <c r="I680" s="582"/>
      <c r="J680" s="582"/>
    </row>
    <row r="681" spans="2:10" s="577" customFormat="1">
      <c r="B681" s="582"/>
      <c r="C681" s="582"/>
      <c r="D681" s="582"/>
      <c r="E681" s="582"/>
      <c r="F681" s="582"/>
      <c r="G681" s="582"/>
      <c r="H681" s="582"/>
      <c r="I681" s="582"/>
      <c r="J681" s="582"/>
    </row>
    <row r="682" spans="2:10" s="577" customFormat="1">
      <c r="B682" s="583" t="s">
        <v>1175</v>
      </c>
      <c r="C682" s="583"/>
      <c r="D682" s="584"/>
      <c r="E682" s="584"/>
      <c r="F682" s="584"/>
      <c r="G682" s="582"/>
      <c r="H682" s="582"/>
      <c r="I682" s="582"/>
      <c r="J682" s="582"/>
    </row>
    <row r="683" spans="2:10" s="577" customFormat="1">
      <c r="B683" s="584"/>
      <c r="C683" s="584"/>
      <c r="D683" s="584"/>
      <c r="E683" s="584"/>
      <c r="F683" s="584"/>
      <c r="G683" s="582"/>
      <c r="H683" s="582"/>
      <c r="I683" s="582"/>
      <c r="J683" s="582"/>
    </row>
    <row r="684" spans="2:10" s="577" customFormat="1" ht="90">
      <c r="B684" s="585" t="s">
        <v>1176</v>
      </c>
      <c r="C684" s="586" t="s">
        <v>1177</v>
      </c>
      <c r="D684" s="586"/>
      <c r="E684" s="585" t="s">
        <v>1178</v>
      </c>
      <c r="F684" s="585" t="s">
        <v>1327</v>
      </c>
      <c r="G684" s="585" t="s">
        <v>1328</v>
      </c>
      <c r="H684" s="585" t="s">
        <v>1329</v>
      </c>
      <c r="I684" s="585" t="s">
        <v>1330</v>
      </c>
      <c r="J684" s="582"/>
    </row>
    <row r="685" spans="2:10" s="577" customFormat="1">
      <c r="B685" s="618" t="s">
        <v>1331</v>
      </c>
      <c r="C685" s="1102" t="s">
        <v>1332</v>
      </c>
      <c r="D685" s="1102"/>
      <c r="E685" s="591" t="s">
        <v>691</v>
      </c>
      <c r="F685" s="591">
        <v>8.2899999999999991</v>
      </c>
      <c r="G685" s="679">
        <v>3.62</v>
      </c>
      <c r="H685" s="679">
        <v>0.95</v>
      </c>
      <c r="I685" s="683">
        <v>0.55000000000000004</v>
      </c>
      <c r="J685" s="582"/>
    </row>
    <row r="686" spans="2:10" s="577" customFormat="1">
      <c r="B686" s="636" t="s">
        <v>1333</v>
      </c>
      <c r="C686" s="1102" t="s">
        <v>1334</v>
      </c>
      <c r="D686" s="1102"/>
      <c r="E686" s="591" t="s">
        <v>691</v>
      </c>
      <c r="F686" s="591">
        <v>9</v>
      </c>
      <c r="G686" s="679">
        <v>3.5</v>
      </c>
      <c r="H686" s="679">
        <v>1.3</v>
      </c>
      <c r="I686" s="683">
        <v>0.79</v>
      </c>
      <c r="J686" s="582"/>
    </row>
    <row r="687" spans="2:10" s="577" customFormat="1" ht="28.5">
      <c r="B687" s="636" t="s">
        <v>1335</v>
      </c>
      <c r="C687" s="1102" t="s">
        <v>1228</v>
      </c>
      <c r="D687" s="1102"/>
      <c r="E687" s="591" t="s">
        <v>691</v>
      </c>
      <c r="F687" s="591">
        <v>9.1</v>
      </c>
      <c r="G687" s="679">
        <v>4.2</v>
      </c>
      <c r="H687" s="679">
        <v>1.37</v>
      </c>
      <c r="I687" s="683">
        <v>0.6</v>
      </c>
      <c r="J687" s="582"/>
    </row>
    <row r="688" spans="2:10" s="577" customFormat="1">
      <c r="B688" s="1103" t="s">
        <v>1186</v>
      </c>
      <c r="C688" s="1100"/>
      <c r="D688" s="1100"/>
      <c r="E688" s="1104"/>
      <c r="F688" s="590">
        <f>F685</f>
        <v>8.2899999999999991</v>
      </c>
      <c r="G688" s="680">
        <f>G686</f>
        <v>3.5</v>
      </c>
      <c r="H688" s="680">
        <f>H685</f>
        <v>0.95</v>
      </c>
      <c r="I688" s="683">
        <f>I685</f>
        <v>0.55000000000000004</v>
      </c>
      <c r="J688" s="582"/>
    </row>
    <row r="689" spans="2:10" s="577" customFormat="1">
      <c r="B689" s="582"/>
      <c r="C689" s="582"/>
      <c r="D689" s="582"/>
      <c r="E689" s="582"/>
      <c r="F689" s="582"/>
      <c r="G689" s="582"/>
      <c r="H689" s="582"/>
      <c r="I689" s="582"/>
      <c r="J689" s="582"/>
    </row>
    <row r="690" spans="2:10" s="577" customFormat="1">
      <c r="B690" s="585" t="s">
        <v>1187</v>
      </c>
      <c r="C690" s="585" t="s">
        <v>1178</v>
      </c>
      <c r="D690" s="585" t="s">
        <v>1188</v>
      </c>
      <c r="E690" s="585" t="s">
        <v>1189</v>
      </c>
      <c r="F690" s="585" t="s">
        <v>1190</v>
      </c>
      <c r="G690" s="585" t="s">
        <v>1191</v>
      </c>
      <c r="H690" s="585" t="s">
        <v>1192</v>
      </c>
      <c r="I690" s="585" t="s">
        <v>1179</v>
      </c>
      <c r="J690" s="585" t="s">
        <v>1193</v>
      </c>
    </row>
    <row r="691" spans="2:10" s="577" customFormat="1">
      <c r="B691" s="591" t="s">
        <v>1336</v>
      </c>
      <c r="C691" s="591" t="s">
        <v>1195</v>
      </c>
      <c r="D691" s="673">
        <v>88247</v>
      </c>
      <c r="E691" s="681">
        <v>0.10199999999999999</v>
      </c>
      <c r="F691" s="593"/>
      <c r="G691" s="593"/>
      <c r="H691" s="593"/>
      <c r="I691" s="593">
        <v>17.46</v>
      </c>
      <c r="J691" s="593">
        <f>E691*I691</f>
        <v>1.7809200000000001</v>
      </c>
    </row>
    <row r="692" spans="2:10" s="577" customFormat="1">
      <c r="B692" s="591" t="s">
        <v>1337</v>
      </c>
      <c r="C692" s="591" t="s">
        <v>1195</v>
      </c>
      <c r="D692" s="592">
        <v>88264</v>
      </c>
      <c r="E692" s="681">
        <v>0.10199999999999999</v>
      </c>
      <c r="F692" s="593"/>
      <c r="G692" s="593"/>
      <c r="H692" s="593"/>
      <c r="I692" s="593">
        <v>22.54</v>
      </c>
      <c r="J692" s="593">
        <f>E692*I692</f>
        <v>2.2990799999999996</v>
      </c>
    </row>
    <row r="693" spans="2:10" s="577" customFormat="1">
      <c r="B693" s="1081" t="s">
        <v>1196</v>
      </c>
      <c r="C693" s="1081"/>
      <c r="D693" s="1081"/>
      <c r="E693" s="1081"/>
      <c r="F693" s="1081"/>
      <c r="G693" s="1081"/>
      <c r="H693" s="1081"/>
      <c r="I693" s="1082"/>
      <c r="J693" s="599">
        <f>J692+J691</f>
        <v>4.08</v>
      </c>
    </row>
    <row r="694" spans="2:10" s="577" customFormat="1">
      <c r="B694" s="606"/>
      <c r="C694" s="606"/>
      <c r="D694" s="606"/>
      <c r="E694" s="606"/>
      <c r="F694" s="606"/>
      <c r="G694" s="606"/>
      <c r="H694" s="606"/>
      <c r="I694" s="606"/>
      <c r="J694" s="606"/>
    </row>
    <row r="695" spans="2:10" s="577" customFormat="1">
      <c r="B695" s="585" t="s">
        <v>1197</v>
      </c>
      <c r="C695" s="585" t="s">
        <v>1178</v>
      </c>
      <c r="D695" s="585" t="s">
        <v>1188</v>
      </c>
      <c r="E695" s="585" t="s">
        <v>1189</v>
      </c>
      <c r="F695" s="585" t="s">
        <v>1190</v>
      </c>
      <c r="G695" s="585" t="s">
        <v>1191</v>
      </c>
      <c r="H695" s="585" t="s">
        <v>1192</v>
      </c>
      <c r="I695" s="585" t="s">
        <v>1179</v>
      </c>
      <c r="J695" s="585" t="s">
        <v>1193</v>
      </c>
    </row>
    <row r="696" spans="2:10" s="577" customFormat="1">
      <c r="B696" s="1161" t="s">
        <v>1338</v>
      </c>
      <c r="C696" s="1164" t="s">
        <v>1199</v>
      </c>
      <c r="D696" s="1170" t="s">
        <v>1200</v>
      </c>
      <c r="E696" s="1180">
        <v>1</v>
      </c>
      <c r="F696" s="1188"/>
      <c r="G696" s="1188"/>
      <c r="H696" s="1188"/>
      <c r="I696" s="1161">
        <f>F688</f>
        <v>8.2899999999999991</v>
      </c>
      <c r="J696" s="1161">
        <f>E696*I696</f>
        <v>8.2899999999999991</v>
      </c>
    </row>
    <row r="697" spans="2:10" s="577" customFormat="1">
      <c r="B697" s="1161"/>
      <c r="C697" s="1164"/>
      <c r="D697" s="1170"/>
      <c r="E697" s="1180"/>
      <c r="F697" s="1188"/>
      <c r="G697" s="1188"/>
      <c r="H697" s="1188"/>
      <c r="I697" s="1161"/>
      <c r="J697" s="1161"/>
    </row>
    <row r="698" spans="2:10" s="577" customFormat="1" ht="15" customHeight="1">
      <c r="B698" s="1161" t="s">
        <v>1339</v>
      </c>
      <c r="C698" s="1164" t="s">
        <v>1199</v>
      </c>
      <c r="D698" s="1170" t="s">
        <v>1200</v>
      </c>
      <c r="E698" s="1180">
        <v>1</v>
      </c>
      <c r="F698" s="1188"/>
      <c r="G698" s="1188"/>
      <c r="H698" s="1188"/>
      <c r="I698" s="1161">
        <f>G688</f>
        <v>3.5</v>
      </c>
      <c r="J698" s="1161">
        <f>E698*I698</f>
        <v>3.5</v>
      </c>
    </row>
    <row r="699" spans="2:10" s="577" customFormat="1">
      <c r="B699" s="1161"/>
      <c r="C699" s="1164"/>
      <c r="D699" s="1170"/>
      <c r="E699" s="1180"/>
      <c r="F699" s="1188"/>
      <c r="G699" s="1188"/>
      <c r="H699" s="1188"/>
      <c r="I699" s="1161"/>
      <c r="J699" s="1161"/>
    </row>
    <row r="700" spans="2:10" s="577" customFormat="1">
      <c r="B700" s="1161"/>
      <c r="C700" s="1164"/>
      <c r="D700" s="1170"/>
      <c r="E700" s="1180"/>
      <c r="F700" s="1188"/>
      <c r="G700" s="1188"/>
      <c r="H700" s="1188"/>
      <c r="I700" s="1161"/>
      <c r="J700" s="1161"/>
    </row>
    <row r="701" spans="2:10" s="577" customFormat="1">
      <c r="B701" s="1161" t="s">
        <v>1340</v>
      </c>
      <c r="C701" s="1164" t="s">
        <v>1199</v>
      </c>
      <c r="D701" s="1170" t="s">
        <v>1200</v>
      </c>
      <c r="E701" s="1164">
        <v>1</v>
      </c>
      <c r="F701" s="1189"/>
      <c r="G701" s="1189"/>
      <c r="H701" s="1189"/>
      <c r="I701" s="1164">
        <f>H685</f>
        <v>0.95</v>
      </c>
      <c r="J701" s="1164">
        <f>E701*I701</f>
        <v>0.95</v>
      </c>
    </row>
    <row r="702" spans="2:10" s="577" customFormat="1">
      <c r="B702" s="1161"/>
      <c r="C702" s="1164"/>
      <c r="D702" s="1170"/>
      <c r="E702" s="1164"/>
      <c r="F702" s="1189"/>
      <c r="G702" s="1189"/>
      <c r="H702" s="1189"/>
      <c r="I702" s="1164"/>
      <c r="J702" s="1164"/>
    </row>
    <row r="703" spans="2:10" s="577" customFormat="1">
      <c r="B703" s="1161"/>
      <c r="C703" s="1164"/>
      <c r="D703" s="1170"/>
      <c r="E703" s="1164"/>
      <c r="F703" s="1189"/>
      <c r="G703" s="1189"/>
      <c r="H703" s="1189"/>
      <c r="I703" s="1164"/>
      <c r="J703" s="1164"/>
    </row>
    <row r="704" spans="2:10" s="577" customFormat="1">
      <c r="B704" s="1161" t="s">
        <v>1341</v>
      </c>
      <c r="C704" s="1164" t="s">
        <v>1199</v>
      </c>
      <c r="D704" s="1170" t="s">
        <v>1200</v>
      </c>
      <c r="E704" s="1164">
        <v>1</v>
      </c>
      <c r="F704" s="1189"/>
      <c r="G704" s="1189"/>
      <c r="H704" s="1189"/>
      <c r="I704" s="1157">
        <f>I685</f>
        <v>0.55000000000000004</v>
      </c>
      <c r="J704" s="1164">
        <f>E704*I704</f>
        <v>0.55000000000000004</v>
      </c>
    </row>
    <row r="705" spans="2:10" s="577" customFormat="1">
      <c r="B705" s="1161"/>
      <c r="C705" s="1164"/>
      <c r="D705" s="1170"/>
      <c r="E705" s="1164"/>
      <c r="F705" s="1189"/>
      <c r="G705" s="1189"/>
      <c r="H705" s="1189"/>
      <c r="I705" s="1159"/>
      <c r="J705" s="1164"/>
    </row>
    <row r="706" spans="2:10" s="577" customFormat="1">
      <c r="B706" s="1161"/>
      <c r="C706" s="1164"/>
      <c r="D706" s="1170"/>
      <c r="E706" s="1164"/>
      <c r="F706" s="1189"/>
      <c r="G706" s="1189"/>
      <c r="H706" s="1189"/>
      <c r="I706" s="1158"/>
      <c r="J706" s="1164"/>
    </row>
    <row r="707" spans="2:10" s="577" customFormat="1">
      <c r="B707" s="1111" t="s">
        <v>1288</v>
      </c>
      <c r="C707" s="1111"/>
      <c r="D707" s="1111"/>
      <c r="E707" s="1111"/>
      <c r="F707" s="1111"/>
      <c r="G707" s="1111"/>
      <c r="H707" s="1111"/>
      <c r="I707" s="1111"/>
      <c r="J707" s="682">
        <f>SUM(J696:J706)</f>
        <v>13.29</v>
      </c>
    </row>
    <row r="708" spans="2:10" s="577" customFormat="1">
      <c r="B708" s="582"/>
      <c r="C708" s="582"/>
      <c r="D708" s="582"/>
      <c r="E708" s="582"/>
      <c r="F708" s="582"/>
      <c r="G708" s="582"/>
      <c r="H708" s="582"/>
      <c r="I708" s="582"/>
      <c r="J708" s="582"/>
    </row>
    <row r="709" spans="2:10" s="577" customFormat="1">
      <c r="B709" s="624" t="s">
        <v>1201</v>
      </c>
      <c r="C709" s="624"/>
      <c r="D709" s="624"/>
      <c r="E709" s="624"/>
      <c r="F709" s="624"/>
      <c r="G709" s="582"/>
      <c r="H709" s="582"/>
      <c r="I709" s="582"/>
      <c r="J709" s="582"/>
    </row>
    <row r="710" spans="2:10" s="577" customFormat="1">
      <c r="B710" s="625" t="s">
        <v>1202</v>
      </c>
      <c r="C710" s="626"/>
      <c r="D710" s="627"/>
      <c r="E710" s="596" t="s">
        <v>1203</v>
      </c>
      <c r="F710" s="596" t="s">
        <v>1204</v>
      </c>
      <c r="G710" s="582"/>
      <c r="H710" s="582"/>
      <c r="I710" s="582"/>
      <c r="J710" s="582"/>
    </row>
    <row r="711" spans="2:10" s="577" customFormat="1">
      <c r="B711" s="628" t="s">
        <v>1205</v>
      </c>
      <c r="C711" s="629"/>
      <c r="D711" s="630"/>
      <c r="E711" s="631">
        <v>128.33000000000001</v>
      </c>
      <c r="F711" s="598">
        <f>J693</f>
        <v>4.08</v>
      </c>
      <c r="G711" s="582"/>
      <c r="H711" s="582"/>
      <c r="I711" s="582"/>
      <c r="J711" s="582"/>
    </row>
    <row r="712" spans="2:10" s="577" customFormat="1">
      <c r="B712" s="628" t="s">
        <v>1206</v>
      </c>
      <c r="C712" s="629"/>
      <c r="D712" s="630"/>
      <c r="E712" s="632"/>
      <c r="F712" s="598">
        <f>J707</f>
        <v>13.29</v>
      </c>
      <c r="G712" s="582"/>
      <c r="H712" s="582"/>
      <c r="I712" s="582"/>
      <c r="J712" s="582"/>
    </row>
    <row r="713" spans="2:10" s="577" customFormat="1">
      <c r="B713" s="628" t="s">
        <v>1207</v>
      </c>
      <c r="C713" s="629"/>
      <c r="D713" s="630"/>
      <c r="E713" s="632"/>
      <c r="F713" s="598">
        <v>0</v>
      </c>
      <c r="G713" s="582"/>
      <c r="H713" s="582"/>
      <c r="I713" s="582"/>
      <c r="J713" s="582"/>
    </row>
    <row r="714" spans="2:10" s="577" customFormat="1">
      <c r="B714" s="628" t="s">
        <v>1208</v>
      </c>
      <c r="C714" s="629"/>
      <c r="D714" s="630"/>
      <c r="E714" s="632"/>
      <c r="F714" s="598">
        <v>1</v>
      </c>
      <c r="G714" s="582"/>
      <c r="H714" s="582"/>
      <c r="I714" s="582"/>
      <c r="J714" s="582"/>
    </row>
    <row r="715" spans="2:10" s="577" customFormat="1">
      <c r="B715" s="628" t="s">
        <v>1209</v>
      </c>
      <c r="C715" s="629"/>
      <c r="D715" s="630"/>
      <c r="E715" s="632"/>
      <c r="F715" s="598">
        <f>F711+F713</f>
        <v>4.08</v>
      </c>
      <c r="G715" s="582"/>
      <c r="H715" s="582"/>
      <c r="I715" s="582"/>
      <c r="J715" s="582"/>
    </row>
    <row r="716" spans="2:10" s="577" customFormat="1" ht="29.25">
      <c r="B716" s="628" t="s">
        <v>1210</v>
      </c>
      <c r="C716" s="629"/>
      <c r="D716" s="630"/>
      <c r="E716" s="632"/>
      <c r="F716" s="598">
        <f>(F711/F714)+(F713/F714)</f>
        <v>4.08</v>
      </c>
      <c r="G716" s="582"/>
      <c r="H716" s="582"/>
      <c r="I716" s="582"/>
      <c r="J716" s="582"/>
    </row>
    <row r="717" spans="2:10" s="577" customFormat="1">
      <c r="B717" s="628" t="s">
        <v>1211</v>
      </c>
      <c r="C717" s="629"/>
      <c r="D717" s="630"/>
      <c r="E717" s="633"/>
      <c r="F717" s="598">
        <f>F712+F716</f>
        <v>17.369999999999997</v>
      </c>
      <c r="G717" s="582"/>
      <c r="H717" s="582"/>
      <c r="I717" s="582"/>
      <c r="J717" s="582"/>
    </row>
    <row r="718" spans="2:10" s="577" customFormat="1" ht="29.25">
      <c r="B718" s="628" t="s">
        <v>1212</v>
      </c>
      <c r="C718" s="629"/>
      <c r="D718" s="630"/>
      <c r="E718" s="631">
        <v>0</v>
      </c>
      <c r="F718" s="598">
        <f>F717*(E718/100)</f>
        <v>0</v>
      </c>
      <c r="G718" s="582"/>
      <c r="H718" s="582"/>
      <c r="I718" s="582"/>
      <c r="J718" s="582"/>
    </row>
    <row r="719" spans="2:10" s="577" customFormat="1">
      <c r="B719" s="634" t="s">
        <v>1213</v>
      </c>
      <c r="C719" s="635"/>
      <c r="D719" s="623"/>
      <c r="E719" s="633"/>
      <c r="F719" s="600">
        <f>F717+F718</f>
        <v>17.369999999999997</v>
      </c>
      <c r="G719" s="582"/>
      <c r="H719" s="582"/>
      <c r="I719" s="582"/>
      <c r="J719" s="582"/>
    </row>
    <row r="720" spans="2:10" s="577" customFormat="1"/>
    <row r="721" spans="2:10" s="577" customFormat="1"/>
    <row r="722" spans="2:10" s="577" customFormat="1"/>
    <row r="723" spans="2:10" s="577" customFormat="1"/>
    <row r="724" spans="2:10" s="577" customFormat="1"/>
    <row r="725" spans="2:10" s="577" customFormat="1">
      <c r="B725" s="579"/>
      <c r="C725" s="579"/>
      <c r="D725" s="579"/>
      <c r="E725" s="579"/>
      <c r="F725" s="579"/>
      <c r="G725" s="579"/>
      <c r="H725" s="579"/>
      <c r="I725" s="579"/>
      <c r="J725" s="579"/>
    </row>
    <row r="726" spans="2:10" s="577" customFormat="1"/>
    <row r="727" spans="2:10" s="577" customFormat="1">
      <c r="B727" s="578" t="s">
        <v>1342</v>
      </c>
      <c r="C727" s="582"/>
      <c r="D727" s="582"/>
      <c r="E727" s="582"/>
      <c r="F727" s="582"/>
      <c r="G727" s="582"/>
      <c r="H727" s="582"/>
      <c r="I727" s="674" t="s">
        <v>1261</v>
      </c>
      <c r="J727" s="582"/>
    </row>
    <row r="728" spans="2:10" s="577" customFormat="1">
      <c r="B728" s="582" t="s">
        <v>1343</v>
      </c>
      <c r="C728" s="582"/>
      <c r="D728" s="582"/>
      <c r="E728" s="582"/>
      <c r="F728" s="582"/>
      <c r="G728" s="582"/>
      <c r="H728" s="642"/>
      <c r="I728" s="582"/>
      <c r="J728" s="582"/>
    </row>
    <row r="729" spans="2:10" s="577" customFormat="1">
      <c r="B729" s="582"/>
      <c r="C729" s="582"/>
      <c r="D729" s="582"/>
      <c r="E729" s="582"/>
      <c r="F729" s="582"/>
      <c r="G729" s="582"/>
      <c r="H729" s="582"/>
      <c r="I729" s="582"/>
      <c r="J729" s="582"/>
    </row>
    <row r="730" spans="2:10" s="577" customFormat="1">
      <c r="B730" s="583" t="s">
        <v>1175</v>
      </c>
      <c r="C730" s="583"/>
      <c r="D730" s="584"/>
      <c r="E730" s="584"/>
      <c r="F730" s="584"/>
      <c r="G730" s="582"/>
      <c r="H730" s="582"/>
      <c r="I730" s="582"/>
      <c r="J730" s="582"/>
    </row>
    <row r="731" spans="2:10" s="577" customFormat="1">
      <c r="B731" s="584"/>
      <c r="C731" s="584"/>
      <c r="D731" s="584"/>
      <c r="E731" s="584"/>
      <c r="F731" s="584"/>
      <c r="G731" s="582"/>
      <c r="H731" s="582"/>
      <c r="I731" s="582"/>
      <c r="J731" s="582"/>
    </row>
    <row r="732" spans="2:10" s="577" customFormat="1">
      <c r="B732" s="585" t="s">
        <v>1176</v>
      </c>
      <c r="C732" s="1075" t="s">
        <v>1177</v>
      </c>
      <c r="D732" s="1075"/>
      <c r="E732" s="585" t="s">
        <v>1178</v>
      </c>
      <c r="F732" s="585" t="s">
        <v>1179</v>
      </c>
      <c r="G732" s="582"/>
      <c r="H732" s="582"/>
      <c r="I732" s="582"/>
      <c r="J732" s="582"/>
    </row>
    <row r="733" spans="2:10" s="577" customFormat="1">
      <c r="B733" s="618" t="s">
        <v>1331</v>
      </c>
      <c r="C733" s="1102" t="s">
        <v>1332</v>
      </c>
      <c r="D733" s="1102"/>
      <c r="E733" s="591" t="s">
        <v>691</v>
      </c>
      <c r="F733" s="591">
        <v>5.5</v>
      </c>
      <c r="G733" s="582"/>
      <c r="H733" s="582"/>
      <c r="I733" s="582"/>
      <c r="J733" s="582"/>
    </row>
    <row r="734" spans="2:10" s="577" customFormat="1">
      <c r="B734" s="636" t="s">
        <v>1333</v>
      </c>
      <c r="C734" s="1102" t="s">
        <v>1334</v>
      </c>
      <c r="D734" s="1102"/>
      <c r="E734" s="591" t="s">
        <v>691</v>
      </c>
      <c r="F734" s="591">
        <v>5.22</v>
      </c>
      <c r="G734" s="582"/>
      <c r="H734" s="582"/>
      <c r="I734" s="582"/>
      <c r="J734" s="582"/>
    </row>
    <row r="735" spans="2:10" s="577" customFormat="1" ht="28.5">
      <c r="B735" s="636" t="s">
        <v>1335</v>
      </c>
      <c r="C735" s="1102" t="s">
        <v>1228</v>
      </c>
      <c r="D735" s="1102"/>
      <c r="E735" s="591" t="s">
        <v>691</v>
      </c>
      <c r="F735" s="591">
        <v>5.69</v>
      </c>
      <c r="G735" s="582"/>
      <c r="H735" s="582"/>
      <c r="I735" s="582"/>
      <c r="J735" s="582"/>
    </row>
    <row r="736" spans="2:10" s="577" customFormat="1">
      <c r="B736" s="1105" t="s">
        <v>1186</v>
      </c>
      <c r="C736" s="1105"/>
      <c r="D736" s="1105"/>
      <c r="E736" s="1105"/>
      <c r="F736" s="590">
        <f>F734</f>
        <v>5.22</v>
      </c>
      <c r="G736" s="582"/>
      <c r="H736" s="582"/>
      <c r="I736" s="582"/>
      <c r="J736" s="582"/>
    </row>
    <row r="737" spans="2:10" s="577" customFormat="1">
      <c r="B737" s="582"/>
      <c r="C737" s="582"/>
      <c r="D737" s="582"/>
      <c r="E737" s="582"/>
      <c r="F737" s="582"/>
      <c r="G737" s="582"/>
      <c r="H737" s="582"/>
      <c r="I737" s="582"/>
      <c r="J737" s="582"/>
    </row>
    <row r="738" spans="2:10" s="577" customFormat="1">
      <c r="B738" s="585" t="s">
        <v>1187</v>
      </c>
      <c r="C738" s="585" t="s">
        <v>1178</v>
      </c>
      <c r="D738" s="585" t="s">
        <v>1188</v>
      </c>
      <c r="E738" s="585" t="s">
        <v>1189</v>
      </c>
      <c r="F738" s="585" t="s">
        <v>1190</v>
      </c>
      <c r="G738" s="585" t="s">
        <v>1191</v>
      </c>
      <c r="H738" s="585" t="s">
        <v>1192</v>
      </c>
      <c r="I738" s="585" t="s">
        <v>1179</v>
      </c>
      <c r="J738" s="585" t="s">
        <v>1193</v>
      </c>
    </row>
    <row r="739" spans="2:10" s="577" customFormat="1">
      <c r="B739" s="591" t="s">
        <v>1286</v>
      </c>
      <c r="C739" s="591" t="s">
        <v>1195</v>
      </c>
      <c r="D739" s="592" t="s">
        <v>1311</v>
      </c>
      <c r="E739" s="591">
        <v>0.05</v>
      </c>
      <c r="F739" s="593"/>
      <c r="G739" s="593"/>
      <c r="H739" s="593"/>
      <c r="I739" s="593">
        <v>22.54</v>
      </c>
      <c r="J739" s="593">
        <f>E739*I739</f>
        <v>1.127</v>
      </c>
    </row>
    <row r="740" spans="2:10" s="577" customFormat="1">
      <c r="B740" s="1087" t="s">
        <v>1196</v>
      </c>
      <c r="C740" s="1087"/>
      <c r="D740" s="1087"/>
      <c r="E740" s="1087"/>
      <c r="F740" s="1087"/>
      <c r="G740" s="1087"/>
      <c r="H740" s="1087"/>
      <c r="I740" s="1087"/>
      <c r="J740" s="599">
        <f>SUM(J739:J739)</f>
        <v>1.127</v>
      </c>
    </row>
    <row r="741" spans="2:10" s="577" customFormat="1">
      <c r="B741" s="606"/>
      <c r="C741" s="606"/>
      <c r="D741" s="606"/>
      <c r="E741" s="606"/>
      <c r="F741" s="606"/>
      <c r="G741" s="606"/>
      <c r="H741" s="606"/>
      <c r="I741" s="606"/>
      <c r="J741" s="606"/>
    </row>
    <row r="742" spans="2:10" s="577" customFormat="1">
      <c r="B742" s="585" t="s">
        <v>1197</v>
      </c>
      <c r="C742" s="585" t="s">
        <v>1178</v>
      </c>
      <c r="D742" s="585" t="s">
        <v>1188</v>
      </c>
      <c r="E742" s="585" t="s">
        <v>1189</v>
      </c>
      <c r="F742" s="585" t="s">
        <v>1190</v>
      </c>
      <c r="G742" s="585" t="s">
        <v>1191</v>
      </c>
      <c r="H742" s="585" t="s">
        <v>1192</v>
      </c>
      <c r="I742" s="585" t="s">
        <v>1179</v>
      </c>
      <c r="J742" s="585" t="s">
        <v>1193</v>
      </c>
    </row>
    <row r="743" spans="2:10" s="577" customFormat="1">
      <c r="B743" s="588" t="s">
        <v>1344</v>
      </c>
      <c r="C743" s="588" t="s">
        <v>1199</v>
      </c>
      <c r="D743" s="684" t="s">
        <v>1200</v>
      </c>
      <c r="E743" s="651">
        <v>1</v>
      </c>
      <c r="F743" s="643"/>
      <c r="G743" s="643"/>
      <c r="H743" s="643"/>
      <c r="I743" s="588">
        <f>F734</f>
        <v>5.22</v>
      </c>
      <c r="J743" s="588">
        <f>E743*I743</f>
        <v>5.22</v>
      </c>
    </row>
    <row r="744" spans="2:10" s="577" customFormat="1">
      <c r="B744" s="643"/>
      <c r="C744" s="1087" t="s">
        <v>1196</v>
      </c>
      <c r="D744" s="1087"/>
      <c r="E744" s="1087"/>
      <c r="F744" s="1087"/>
      <c r="G744" s="1087"/>
      <c r="H744" s="1087"/>
      <c r="I744" s="1087"/>
      <c r="J744" s="599">
        <f>SUM(J743:J743)</f>
        <v>5.22</v>
      </c>
    </row>
    <row r="745" spans="2:10" s="577" customFormat="1">
      <c r="B745" s="582"/>
      <c r="C745" s="582"/>
      <c r="D745" s="582"/>
      <c r="E745" s="582"/>
      <c r="F745" s="582"/>
      <c r="G745" s="582"/>
      <c r="H745" s="582"/>
      <c r="I745" s="582"/>
      <c r="J745" s="582"/>
    </row>
    <row r="746" spans="2:10" s="577" customFormat="1">
      <c r="B746" s="1088" t="s">
        <v>1201</v>
      </c>
      <c r="C746" s="1088"/>
      <c r="D746" s="1088"/>
      <c r="E746" s="1088"/>
      <c r="F746" s="1088"/>
      <c r="G746" s="582"/>
      <c r="H746" s="582"/>
      <c r="I746" s="582"/>
      <c r="J746" s="582"/>
    </row>
    <row r="747" spans="2:10" s="577" customFormat="1">
      <c r="B747" s="1089" t="s">
        <v>1202</v>
      </c>
      <c r="C747" s="1090"/>
      <c r="D747" s="1091"/>
      <c r="E747" s="596" t="s">
        <v>1203</v>
      </c>
      <c r="F747" s="596" t="s">
        <v>1204</v>
      </c>
      <c r="G747" s="582"/>
      <c r="H747" s="582"/>
      <c r="I747" s="582"/>
      <c r="J747" s="582"/>
    </row>
    <row r="748" spans="2:10" s="577" customFormat="1">
      <c r="B748" s="1092" t="s">
        <v>1205</v>
      </c>
      <c r="C748" s="1093"/>
      <c r="D748" s="1094"/>
      <c r="E748" s="1172">
        <v>128.33000000000001</v>
      </c>
      <c r="F748" s="598">
        <f>J740</f>
        <v>1.127</v>
      </c>
      <c r="G748" s="582"/>
      <c r="H748" s="582"/>
      <c r="I748" s="582"/>
      <c r="J748" s="582"/>
    </row>
    <row r="749" spans="2:10" s="577" customFormat="1">
      <c r="B749" s="1092" t="s">
        <v>1206</v>
      </c>
      <c r="C749" s="1093"/>
      <c r="D749" s="1094"/>
      <c r="E749" s="1173"/>
      <c r="F749" s="598">
        <f>J744</f>
        <v>5.22</v>
      </c>
      <c r="G749" s="582"/>
      <c r="H749" s="582"/>
      <c r="I749" s="582"/>
      <c r="J749" s="582"/>
    </row>
    <row r="750" spans="2:10" s="577" customFormat="1">
      <c r="B750" s="1092" t="s">
        <v>1207</v>
      </c>
      <c r="C750" s="1093"/>
      <c r="D750" s="1094"/>
      <c r="E750" s="1173"/>
      <c r="F750" s="598">
        <v>0</v>
      </c>
      <c r="G750" s="582"/>
      <c r="H750" s="582"/>
      <c r="I750" s="582"/>
      <c r="J750" s="582"/>
    </row>
    <row r="751" spans="2:10" s="577" customFormat="1">
      <c r="B751" s="1092" t="s">
        <v>1208</v>
      </c>
      <c r="C751" s="1093"/>
      <c r="D751" s="1094"/>
      <c r="E751" s="1173"/>
      <c r="F751" s="598">
        <v>1</v>
      </c>
      <c r="G751" s="582"/>
      <c r="H751" s="582"/>
      <c r="I751" s="582"/>
      <c r="J751" s="582"/>
    </row>
    <row r="752" spans="2:10" s="577" customFormat="1">
      <c r="B752" s="1092" t="s">
        <v>1209</v>
      </c>
      <c r="C752" s="1093"/>
      <c r="D752" s="1094"/>
      <c r="E752" s="1173"/>
      <c r="F752" s="598">
        <f>F748+F750</f>
        <v>1.127</v>
      </c>
      <c r="G752" s="582"/>
      <c r="H752" s="582"/>
      <c r="I752" s="582"/>
      <c r="J752" s="582"/>
    </row>
    <row r="753" spans="2:10" s="577" customFormat="1">
      <c r="B753" s="1092" t="s">
        <v>1210</v>
      </c>
      <c r="C753" s="1093"/>
      <c r="D753" s="1094"/>
      <c r="E753" s="1173"/>
      <c r="F753" s="598">
        <f>(F748/F751)+(F750/F751)</f>
        <v>1.127</v>
      </c>
      <c r="G753" s="582"/>
      <c r="H753" s="582"/>
      <c r="I753" s="582"/>
      <c r="J753" s="582"/>
    </row>
    <row r="754" spans="2:10" s="577" customFormat="1">
      <c r="B754" s="1092" t="s">
        <v>1211</v>
      </c>
      <c r="C754" s="1093"/>
      <c r="D754" s="1094"/>
      <c r="E754" s="1174"/>
      <c r="F754" s="598">
        <f>F749+F753</f>
        <v>6.3469999999999995</v>
      </c>
      <c r="G754" s="582"/>
      <c r="H754" s="582"/>
      <c r="I754" s="582"/>
      <c r="J754" s="582"/>
    </row>
    <row r="755" spans="2:10" s="577" customFormat="1">
      <c r="B755" s="1092" t="s">
        <v>1212</v>
      </c>
      <c r="C755" s="1093"/>
      <c r="D755" s="1094"/>
      <c r="E755" s="1172">
        <v>0</v>
      </c>
      <c r="F755" s="598">
        <f>F754*(E755/100)</f>
        <v>0</v>
      </c>
      <c r="G755" s="582"/>
      <c r="H755" s="582"/>
      <c r="I755" s="582"/>
      <c r="J755" s="582"/>
    </row>
    <row r="756" spans="2:10" s="577" customFormat="1">
      <c r="B756" s="1095" t="s">
        <v>1213</v>
      </c>
      <c r="C756" s="1096"/>
      <c r="D756" s="1097"/>
      <c r="E756" s="1174"/>
      <c r="F756" s="600">
        <f>F754+F755</f>
        <v>6.3469999999999995</v>
      </c>
      <c r="G756" s="582"/>
      <c r="H756" s="582"/>
      <c r="I756" s="582"/>
      <c r="J756" s="582"/>
    </row>
    <row r="757" spans="2:10" s="577" customFormat="1"/>
    <row r="758" spans="2:10" s="577" customFormat="1"/>
    <row r="759" spans="2:10" s="577" customFormat="1"/>
    <row r="760" spans="2:10" s="577" customFormat="1"/>
    <row r="761" spans="2:10" s="577" customFormat="1">
      <c r="B761" s="578" t="s">
        <v>1345</v>
      </c>
      <c r="C761" s="582"/>
      <c r="D761" s="582"/>
      <c r="E761" s="582"/>
      <c r="F761" s="582"/>
      <c r="G761" s="582"/>
      <c r="H761" s="582"/>
      <c r="J761" s="578" t="s">
        <v>1261</v>
      </c>
    </row>
    <row r="762" spans="2:10" s="577" customFormat="1">
      <c r="B762" s="582" t="s">
        <v>1346</v>
      </c>
      <c r="C762" s="582"/>
      <c r="D762" s="582"/>
      <c r="E762" s="582"/>
      <c r="F762" s="582"/>
      <c r="G762" s="582"/>
      <c r="H762" s="642"/>
      <c r="I762" s="582"/>
      <c r="J762" s="582"/>
    </row>
    <row r="763" spans="2:10" s="577" customFormat="1">
      <c r="B763" s="582"/>
      <c r="C763" s="582"/>
      <c r="D763" s="582"/>
      <c r="E763" s="582"/>
      <c r="F763" s="582"/>
      <c r="G763" s="582"/>
      <c r="H763" s="582"/>
      <c r="I763" s="582"/>
      <c r="J763" s="582"/>
    </row>
    <row r="764" spans="2:10" s="577" customFormat="1">
      <c r="B764" s="583" t="s">
        <v>1175</v>
      </c>
      <c r="C764" s="583"/>
      <c r="D764" s="584"/>
      <c r="E764" s="584"/>
      <c r="F764" s="584"/>
      <c r="G764" s="582"/>
      <c r="H764" s="582"/>
      <c r="I764" s="582"/>
      <c r="J764" s="582"/>
    </row>
    <row r="765" spans="2:10" s="577" customFormat="1">
      <c r="B765" s="584"/>
      <c r="C765" s="584"/>
      <c r="D765" s="584"/>
      <c r="E765" s="584"/>
      <c r="F765" s="584"/>
      <c r="G765" s="582"/>
      <c r="H765" s="582"/>
      <c r="I765" s="582"/>
      <c r="J765" s="582"/>
    </row>
    <row r="766" spans="2:10" s="577" customFormat="1" ht="45">
      <c r="B766" s="585" t="s">
        <v>1176</v>
      </c>
      <c r="C766" s="1075" t="s">
        <v>1177</v>
      </c>
      <c r="D766" s="1075"/>
      <c r="E766" s="585" t="s">
        <v>1178</v>
      </c>
      <c r="F766" s="585" t="s">
        <v>1347</v>
      </c>
      <c r="G766" s="585" t="s">
        <v>1348</v>
      </c>
      <c r="H766" s="582"/>
      <c r="I766" s="582"/>
      <c r="J766" s="582"/>
    </row>
    <row r="767" spans="2:10" s="577" customFormat="1">
      <c r="B767" s="618" t="s">
        <v>1331</v>
      </c>
      <c r="C767" s="1102" t="s">
        <v>1332</v>
      </c>
      <c r="D767" s="1102"/>
      <c r="E767" s="591" t="s">
        <v>691</v>
      </c>
      <c r="F767" s="591">
        <v>1.74</v>
      </c>
      <c r="G767" s="683">
        <v>0.15</v>
      </c>
      <c r="H767" s="582"/>
      <c r="I767" s="582"/>
      <c r="J767" s="582"/>
    </row>
    <row r="768" spans="2:10" s="577" customFormat="1">
      <c r="B768" s="636" t="s">
        <v>1333</v>
      </c>
      <c r="C768" s="1102" t="s">
        <v>1334</v>
      </c>
      <c r="D768" s="1102"/>
      <c r="E768" s="591" t="s">
        <v>691</v>
      </c>
      <c r="F768" s="591">
        <v>1.85</v>
      </c>
      <c r="G768" s="683">
        <v>0.14000000000000001</v>
      </c>
      <c r="H768" s="582"/>
      <c r="I768" s="582"/>
      <c r="J768" s="582"/>
    </row>
    <row r="769" spans="2:10" s="577" customFormat="1" ht="28.5">
      <c r="B769" s="636" t="s">
        <v>1335</v>
      </c>
      <c r="C769" s="1102" t="s">
        <v>1228</v>
      </c>
      <c r="D769" s="1102"/>
      <c r="E769" s="591" t="s">
        <v>691</v>
      </c>
      <c r="F769" s="591">
        <v>1.92</v>
      </c>
      <c r="G769" s="683">
        <v>0.44</v>
      </c>
      <c r="H769" s="582"/>
      <c r="I769" s="582"/>
      <c r="J769" s="582"/>
    </row>
    <row r="770" spans="2:10" s="577" customFormat="1">
      <c r="B770" s="1105" t="s">
        <v>1186</v>
      </c>
      <c r="C770" s="1105"/>
      <c r="D770" s="1105"/>
      <c r="E770" s="1105"/>
      <c r="F770" s="590">
        <f>F767</f>
        <v>1.74</v>
      </c>
      <c r="G770" s="683">
        <f>G768</f>
        <v>0.14000000000000001</v>
      </c>
      <c r="H770" s="582"/>
      <c r="I770" s="582"/>
      <c r="J770" s="582"/>
    </row>
    <row r="771" spans="2:10" s="577" customFormat="1">
      <c r="B771" s="582"/>
      <c r="C771" s="582"/>
      <c r="D771" s="582"/>
      <c r="E771" s="582"/>
      <c r="F771" s="582"/>
      <c r="G771" s="582"/>
      <c r="H771" s="582"/>
      <c r="I771" s="582"/>
      <c r="J771" s="582"/>
    </row>
    <row r="772" spans="2:10" s="577" customFormat="1">
      <c r="B772" s="585" t="s">
        <v>1187</v>
      </c>
      <c r="C772" s="585" t="s">
        <v>1178</v>
      </c>
      <c r="D772" s="585" t="s">
        <v>1188</v>
      </c>
      <c r="E772" s="585" t="s">
        <v>1189</v>
      </c>
      <c r="F772" s="585" t="s">
        <v>1190</v>
      </c>
      <c r="G772" s="585" t="s">
        <v>1191</v>
      </c>
      <c r="H772" s="585" t="s">
        <v>1192</v>
      </c>
      <c r="I772" s="585" t="s">
        <v>1179</v>
      </c>
      <c r="J772" s="585" t="s">
        <v>1193</v>
      </c>
    </row>
    <row r="773" spans="2:10" s="577" customFormat="1">
      <c r="B773" s="591" t="s">
        <v>1286</v>
      </c>
      <c r="C773" s="591" t="s">
        <v>1195</v>
      </c>
      <c r="D773" s="592" t="s">
        <v>1311</v>
      </c>
      <c r="E773" s="591">
        <v>0.01</v>
      </c>
      <c r="F773" s="593"/>
      <c r="G773" s="593"/>
      <c r="H773" s="593"/>
      <c r="I773" s="593">
        <v>22.54</v>
      </c>
      <c r="J773" s="593">
        <f>E773*I773</f>
        <v>0.22539999999999999</v>
      </c>
    </row>
    <row r="774" spans="2:10" s="577" customFormat="1">
      <c r="B774" s="1087" t="s">
        <v>1196</v>
      </c>
      <c r="C774" s="1087"/>
      <c r="D774" s="1087"/>
      <c r="E774" s="1087"/>
      <c r="F774" s="1087"/>
      <c r="G774" s="1087"/>
      <c r="H774" s="1087"/>
      <c r="I774" s="1087"/>
      <c r="J774" s="599">
        <f>SUM(J773:J773)</f>
        <v>0.22539999999999999</v>
      </c>
    </row>
    <row r="775" spans="2:10" s="577" customFormat="1">
      <c r="B775" s="606"/>
      <c r="C775" s="606"/>
      <c r="D775" s="606"/>
      <c r="E775" s="606"/>
      <c r="F775" s="606"/>
      <c r="G775" s="606"/>
      <c r="H775" s="606"/>
      <c r="I775" s="606"/>
      <c r="J775" s="606"/>
    </row>
    <row r="776" spans="2:10" s="577" customFormat="1">
      <c r="B776" s="585" t="s">
        <v>1197</v>
      </c>
      <c r="C776" s="585" t="s">
        <v>1178</v>
      </c>
      <c r="D776" s="585" t="s">
        <v>1188</v>
      </c>
      <c r="E776" s="585" t="s">
        <v>1189</v>
      </c>
      <c r="F776" s="585" t="s">
        <v>1190</v>
      </c>
      <c r="G776" s="585" t="s">
        <v>1191</v>
      </c>
      <c r="H776" s="585" t="s">
        <v>1192</v>
      </c>
      <c r="I776" s="585" t="s">
        <v>1179</v>
      </c>
      <c r="J776" s="585" t="s">
        <v>1193</v>
      </c>
    </row>
    <row r="777" spans="2:10" s="577" customFormat="1">
      <c r="B777" s="585"/>
      <c r="C777" s="585"/>
      <c r="D777" s="585"/>
      <c r="E777" s="585"/>
      <c r="F777" s="585"/>
      <c r="G777" s="585"/>
      <c r="H777" s="585"/>
      <c r="I777" s="585"/>
      <c r="J777" s="585"/>
    </row>
    <row r="778" spans="2:10" s="577" customFormat="1" ht="28.5">
      <c r="B778" s="588" t="s">
        <v>1349</v>
      </c>
      <c r="C778" s="588" t="s">
        <v>1199</v>
      </c>
      <c r="D778" s="684" t="s">
        <v>1200</v>
      </c>
      <c r="E778" s="651">
        <v>1</v>
      </c>
      <c r="F778" s="643"/>
      <c r="G778" s="643"/>
      <c r="H778" s="643"/>
      <c r="I778" s="588">
        <f>F767</f>
        <v>1.74</v>
      </c>
      <c r="J778" s="588">
        <f>E778*I778</f>
        <v>1.74</v>
      </c>
    </row>
    <row r="779" spans="2:10" s="577" customFormat="1" ht="15" customHeight="1">
      <c r="B779" s="588" t="s">
        <v>1350</v>
      </c>
      <c r="C779" s="588" t="s">
        <v>1199</v>
      </c>
      <c r="D779" s="684" t="s">
        <v>1200</v>
      </c>
      <c r="E779" s="651">
        <v>1</v>
      </c>
      <c r="F779" s="599"/>
      <c r="G779" s="599"/>
      <c r="H779" s="599"/>
      <c r="I779" s="617">
        <f>G770</f>
        <v>0.14000000000000001</v>
      </c>
      <c r="J779" s="617">
        <f>I779*E779</f>
        <v>0.14000000000000001</v>
      </c>
    </row>
    <row r="780" spans="2:10" s="577" customFormat="1" ht="15" customHeight="1">
      <c r="B780" s="1087" t="s">
        <v>1351</v>
      </c>
      <c r="C780" s="1087"/>
      <c r="D780" s="1087"/>
      <c r="E780" s="1087"/>
      <c r="F780" s="1087"/>
      <c r="G780" s="1087"/>
      <c r="H780" s="1087"/>
      <c r="I780" s="1087"/>
      <c r="J780" s="599">
        <f>SUM(J778:J779)</f>
        <v>1.88</v>
      </c>
    </row>
    <row r="781" spans="2:10" s="577" customFormat="1">
      <c r="B781" s="582"/>
      <c r="C781" s="582"/>
      <c r="D781" s="582"/>
      <c r="E781" s="582"/>
      <c r="F781" s="582"/>
      <c r="G781" s="582"/>
      <c r="H781" s="582"/>
      <c r="I781" s="582"/>
      <c r="J781" s="582"/>
    </row>
    <row r="782" spans="2:10" s="577" customFormat="1">
      <c r="B782" s="1088" t="s">
        <v>1201</v>
      </c>
      <c r="C782" s="1088"/>
      <c r="D782" s="1088"/>
      <c r="E782" s="1088"/>
      <c r="F782" s="1088"/>
      <c r="G782" s="582"/>
      <c r="H782" s="582"/>
      <c r="I782" s="582"/>
      <c r="J782" s="582"/>
    </row>
    <row r="783" spans="2:10" s="577" customFormat="1">
      <c r="B783" s="1089" t="s">
        <v>1202</v>
      </c>
      <c r="C783" s="1090"/>
      <c r="D783" s="1091"/>
      <c r="E783" s="596" t="s">
        <v>1203</v>
      </c>
      <c r="F783" s="596" t="s">
        <v>1204</v>
      </c>
      <c r="G783" s="582"/>
      <c r="H783" s="582"/>
      <c r="I783" s="582"/>
      <c r="J783" s="582"/>
    </row>
    <row r="784" spans="2:10" s="577" customFormat="1">
      <c r="B784" s="1092" t="s">
        <v>1205</v>
      </c>
      <c r="C784" s="1093"/>
      <c r="D784" s="1094"/>
      <c r="E784" s="1172">
        <v>128.33000000000001</v>
      </c>
      <c r="F784" s="598">
        <f>J774</f>
        <v>0.22539999999999999</v>
      </c>
      <c r="G784" s="582"/>
      <c r="H784" s="582"/>
      <c r="I784" s="582"/>
      <c r="J784" s="582"/>
    </row>
    <row r="785" spans="2:10" s="577" customFormat="1">
      <c r="B785" s="1092" t="s">
        <v>1206</v>
      </c>
      <c r="C785" s="1093"/>
      <c r="D785" s="1094"/>
      <c r="E785" s="1173"/>
      <c r="F785" s="598">
        <f>J780</f>
        <v>1.88</v>
      </c>
      <c r="G785" s="582"/>
      <c r="H785" s="582"/>
      <c r="I785" s="582"/>
      <c r="J785" s="582"/>
    </row>
    <row r="786" spans="2:10" s="577" customFormat="1">
      <c r="B786" s="1092" t="s">
        <v>1207</v>
      </c>
      <c r="C786" s="1093"/>
      <c r="D786" s="1094"/>
      <c r="E786" s="1173"/>
      <c r="F786" s="598">
        <v>0</v>
      </c>
      <c r="G786" s="582"/>
      <c r="H786" s="582"/>
      <c r="I786" s="582"/>
      <c r="J786" s="582"/>
    </row>
    <row r="787" spans="2:10" s="577" customFormat="1">
      <c r="B787" s="1092" t="s">
        <v>1208</v>
      </c>
      <c r="C787" s="1093"/>
      <c r="D787" s="1094"/>
      <c r="E787" s="1173"/>
      <c r="F787" s="598">
        <v>1</v>
      </c>
      <c r="G787" s="582"/>
      <c r="H787" s="582"/>
      <c r="I787" s="582"/>
      <c r="J787" s="582"/>
    </row>
    <row r="788" spans="2:10" s="577" customFormat="1">
      <c r="B788" s="1092" t="s">
        <v>1209</v>
      </c>
      <c r="C788" s="1093"/>
      <c r="D788" s="1094"/>
      <c r="E788" s="1173"/>
      <c r="F788" s="598">
        <f>F784+F786</f>
        <v>0.22539999999999999</v>
      </c>
      <c r="G788" s="582"/>
      <c r="H788" s="582"/>
      <c r="I788" s="582"/>
      <c r="J788" s="582"/>
    </row>
    <row r="789" spans="2:10" s="577" customFormat="1">
      <c r="B789" s="1092" t="s">
        <v>1210</v>
      </c>
      <c r="C789" s="1093"/>
      <c r="D789" s="1094"/>
      <c r="E789" s="1173"/>
      <c r="F789" s="598">
        <f>(F784/F787)+(F786/F787)</f>
        <v>0.22539999999999999</v>
      </c>
      <c r="G789" s="582"/>
      <c r="H789" s="582"/>
      <c r="I789" s="582"/>
      <c r="J789" s="582"/>
    </row>
    <row r="790" spans="2:10" s="577" customFormat="1">
      <c r="B790" s="1092" t="s">
        <v>1211</v>
      </c>
      <c r="C790" s="1093"/>
      <c r="D790" s="1094"/>
      <c r="E790" s="1174"/>
      <c r="F790" s="598">
        <f>F785+F789</f>
        <v>2.1053999999999999</v>
      </c>
      <c r="G790" s="582"/>
      <c r="H790" s="582"/>
      <c r="I790" s="582"/>
      <c r="J790" s="582"/>
    </row>
    <row r="791" spans="2:10" s="577" customFormat="1">
      <c r="B791" s="1092" t="s">
        <v>1212</v>
      </c>
      <c r="C791" s="1093"/>
      <c r="D791" s="1094"/>
      <c r="E791" s="1172">
        <v>0</v>
      </c>
      <c r="F791" s="598">
        <f>F790*(E791/100)</f>
        <v>0</v>
      </c>
      <c r="G791" s="582"/>
      <c r="H791" s="582"/>
      <c r="I791" s="582"/>
      <c r="J791" s="582"/>
    </row>
    <row r="792" spans="2:10" s="577" customFormat="1">
      <c r="B792" s="1095" t="s">
        <v>1213</v>
      </c>
      <c r="C792" s="1096"/>
      <c r="D792" s="1097"/>
      <c r="E792" s="1174"/>
      <c r="F792" s="600">
        <f>F790+F791</f>
        <v>2.1053999999999999</v>
      </c>
      <c r="G792" s="582"/>
      <c r="H792" s="582"/>
      <c r="I792" s="582"/>
      <c r="J792" s="582"/>
    </row>
    <row r="793" spans="2:10" s="577" customFormat="1"/>
    <row r="794" spans="2:10" s="577" customFormat="1"/>
    <row r="795" spans="2:10" s="577" customFormat="1"/>
    <row r="796" spans="2:10" s="577" customFormat="1"/>
    <row r="797" spans="2:10" s="577" customFormat="1">
      <c r="B797" s="1074" t="s">
        <v>1352</v>
      </c>
      <c r="C797" s="1074"/>
      <c r="D797" s="1074"/>
      <c r="E797" s="1074"/>
      <c r="F797" s="1074"/>
    </row>
    <row r="798" spans="2:10" s="577" customFormat="1">
      <c r="B798" s="670"/>
      <c r="C798" s="582"/>
      <c r="D798" s="582"/>
      <c r="E798" s="582"/>
      <c r="F798" s="582"/>
      <c r="G798" s="582"/>
      <c r="H798" s="582"/>
      <c r="I798" s="582"/>
      <c r="J798" s="582"/>
    </row>
    <row r="799" spans="2:10" s="577" customFormat="1">
      <c r="B799" s="578" t="s">
        <v>1353</v>
      </c>
      <c r="C799" s="582"/>
      <c r="D799" s="582"/>
      <c r="E799" s="582"/>
      <c r="F799" s="582"/>
      <c r="G799" s="1040" t="s">
        <v>1354</v>
      </c>
      <c r="H799" s="582"/>
      <c r="I799" s="578" t="s">
        <v>1261</v>
      </c>
      <c r="J799" s="582"/>
    </row>
    <row r="800" spans="2:10" s="577" customFormat="1">
      <c r="B800" s="582" t="s">
        <v>1355</v>
      </c>
      <c r="C800" s="582"/>
      <c r="D800" s="582"/>
      <c r="E800" s="582"/>
      <c r="F800" s="582"/>
      <c r="G800" s="604"/>
      <c r="H800" s="604"/>
      <c r="I800" s="582"/>
      <c r="J800" s="582"/>
    </row>
    <row r="801" spans="2:10" s="577" customFormat="1">
      <c r="B801" s="582"/>
      <c r="C801" s="582"/>
      <c r="D801" s="582"/>
      <c r="E801" s="582"/>
      <c r="F801" s="582"/>
      <c r="G801" s="604"/>
      <c r="H801" s="604"/>
      <c r="I801" s="582"/>
      <c r="J801" s="582"/>
    </row>
    <row r="802" spans="2:10" s="577" customFormat="1">
      <c r="B802" s="583" t="s">
        <v>1175</v>
      </c>
      <c r="C802" s="583"/>
      <c r="D802" s="584"/>
      <c r="E802" s="584"/>
      <c r="F802" s="584"/>
      <c r="G802" s="604"/>
      <c r="H802" s="604"/>
      <c r="I802" s="582"/>
      <c r="J802" s="582"/>
    </row>
    <row r="803" spans="2:10" s="577" customFormat="1">
      <c r="B803" s="584"/>
      <c r="C803" s="584"/>
      <c r="D803" s="584"/>
      <c r="E803" s="584"/>
      <c r="F803" s="584"/>
      <c r="G803" s="604"/>
      <c r="H803" s="604"/>
      <c r="I803" s="582"/>
      <c r="J803" s="582"/>
    </row>
    <row r="804" spans="2:10" s="577" customFormat="1" ht="30">
      <c r="B804" s="585" t="s">
        <v>1176</v>
      </c>
      <c r="C804" s="1075" t="s">
        <v>1177</v>
      </c>
      <c r="D804" s="1075"/>
      <c r="E804" s="585" t="s">
        <v>1178</v>
      </c>
      <c r="F804" s="585" t="s">
        <v>1356</v>
      </c>
      <c r="G804" s="604"/>
      <c r="H804" s="604"/>
      <c r="I804" s="582"/>
      <c r="J804" s="582"/>
    </row>
    <row r="805" spans="2:10" s="577" customFormat="1">
      <c r="B805" s="618" t="s">
        <v>1357</v>
      </c>
      <c r="C805" s="1078" t="s">
        <v>1265</v>
      </c>
      <c r="D805" s="1078"/>
      <c r="E805" s="588" t="s">
        <v>691</v>
      </c>
      <c r="F805" s="588">
        <v>16.2</v>
      </c>
      <c r="G805" s="604"/>
      <c r="H805" s="604"/>
      <c r="I805" s="582"/>
      <c r="J805" s="582"/>
    </row>
    <row r="806" spans="2:10" s="577" customFormat="1" ht="28.5">
      <c r="B806" s="636" t="s">
        <v>1358</v>
      </c>
      <c r="C806" s="1078" t="s">
        <v>1267</v>
      </c>
      <c r="D806" s="1078"/>
      <c r="E806" s="588" t="s">
        <v>691</v>
      </c>
      <c r="F806" s="588">
        <v>19.899999999999999</v>
      </c>
      <c r="G806" s="604"/>
      <c r="H806" s="604"/>
      <c r="I806" s="582"/>
      <c r="J806" s="582"/>
    </row>
    <row r="807" spans="2:10" s="577" customFormat="1" ht="28.5">
      <c r="B807" s="636" t="s">
        <v>1359</v>
      </c>
      <c r="C807" s="1078" t="s">
        <v>1269</v>
      </c>
      <c r="D807" s="1078"/>
      <c r="E807" s="588" t="s">
        <v>691</v>
      </c>
      <c r="F807" s="588">
        <v>17.899999999999999</v>
      </c>
      <c r="G807" s="604"/>
      <c r="H807" s="604"/>
      <c r="I807" s="582"/>
      <c r="J807" s="582"/>
    </row>
    <row r="808" spans="2:10" s="577" customFormat="1">
      <c r="B808" s="1101" t="s">
        <v>1186</v>
      </c>
      <c r="C808" s="1101"/>
      <c r="D808" s="1101"/>
      <c r="E808" s="1101"/>
      <c r="F808" s="685">
        <f>F805</f>
        <v>16.2</v>
      </c>
      <c r="G808" s="686"/>
      <c r="H808" s="686"/>
      <c r="I808" s="582"/>
      <c r="J808" s="582"/>
    </row>
    <row r="809" spans="2:10" s="577" customFormat="1">
      <c r="B809" s="582"/>
      <c r="C809" s="582"/>
      <c r="D809" s="582"/>
      <c r="E809" s="582"/>
      <c r="F809" s="582"/>
      <c r="G809" s="582"/>
      <c r="H809" s="582"/>
      <c r="I809" s="582"/>
      <c r="J809" s="582"/>
    </row>
    <row r="810" spans="2:10" s="577" customFormat="1">
      <c r="B810" s="585" t="s">
        <v>1187</v>
      </c>
      <c r="C810" s="585" t="s">
        <v>1178</v>
      </c>
      <c r="D810" s="585" t="s">
        <v>1188</v>
      </c>
      <c r="E810" s="585" t="s">
        <v>1189</v>
      </c>
      <c r="F810" s="585" t="s">
        <v>1190</v>
      </c>
      <c r="G810" s="585" t="s">
        <v>1191</v>
      </c>
      <c r="H810" s="585" t="s">
        <v>1192</v>
      </c>
      <c r="I810" s="585" t="s">
        <v>1179</v>
      </c>
      <c r="J810" s="585" t="s">
        <v>1193</v>
      </c>
    </row>
    <row r="811" spans="2:10" s="577" customFormat="1">
      <c r="B811" s="591" t="s">
        <v>1360</v>
      </c>
      <c r="C811" s="591" t="s">
        <v>1195</v>
      </c>
      <c r="D811" s="592">
        <v>88248</v>
      </c>
      <c r="E811" s="591">
        <v>0.12</v>
      </c>
      <c r="F811" s="593"/>
      <c r="G811" s="593"/>
      <c r="H811" s="593"/>
      <c r="I811" s="593">
        <v>14.77</v>
      </c>
      <c r="J811" s="593">
        <f>E811*I811</f>
        <v>1.7724</v>
      </c>
    </row>
    <row r="812" spans="2:10" s="577" customFormat="1">
      <c r="B812" s="591" t="s">
        <v>1361</v>
      </c>
      <c r="C812" s="591" t="s">
        <v>1195</v>
      </c>
      <c r="D812" s="592">
        <v>88267</v>
      </c>
      <c r="E812" s="591">
        <v>0.12</v>
      </c>
      <c r="F812" s="593"/>
      <c r="G812" s="593"/>
      <c r="H812" s="593"/>
      <c r="I812" s="593">
        <v>18.8</v>
      </c>
      <c r="J812" s="593">
        <f>E812*I812</f>
        <v>2.2559999999999998</v>
      </c>
    </row>
    <row r="813" spans="2:10" s="577" customFormat="1">
      <c r="B813" s="1087" t="s">
        <v>1196</v>
      </c>
      <c r="C813" s="1087"/>
      <c r="D813" s="1087"/>
      <c r="E813" s="1087"/>
      <c r="F813" s="1087"/>
      <c r="G813" s="1087"/>
      <c r="H813" s="1087"/>
      <c r="I813" s="1087"/>
      <c r="J813" s="599">
        <f>J812</f>
        <v>2.2559999999999998</v>
      </c>
    </row>
    <row r="814" spans="2:10" s="577" customFormat="1">
      <c r="B814" s="606"/>
      <c r="C814" s="606"/>
      <c r="D814" s="606"/>
      <c r="E814" s="606"/>
      <c r="F814" s="606"/>
      <c r="G814" s="606"/>
      <c r="H814" s="606"/>
      <c r="I814" s="606"/>
      <c r="J814" s="606"/>
    </row>
    <row r="815" spans="2:10" s="577" customFormat="1">
      <c r="B815" s="585" t="s">
        <v>1197</v>
      </c>
      <c r="C815" s="585" t="s">
        <v>1178</v>
      </c>
      <c r="D815" s="585" t="s">
        <v>1188</v>
      </c>
      <c r="E815" s="585" t="s">
        <v>1189</v>
      </c>
      <c r="F815" s="585" t="s">
        <v>1190</v>
      </c>
      <c r="G815" s="585" t="s">
        <v>1191</v>
      </c>
      <c r="H815" s="585" t="s">
        <v>1192</v>
      </c>
      <c r="I815" s="585" t="s">
        <v>1179</v>
      </c>
      <c r="J815" s="585" t="s">
        <v>1193</v>
      </c>
    </row>
    <row r="816" spans="2:10" s="577" customFormat="1">
      <c r="B816" s="617" t="s">
        <v>1362</v>
      </c>
      <c r="C816" s="588" t="s">
        <v>1199</v>
      </c>
      <c r="D816" s="602" t="s">
        <v>1200</v>
      </c>
      <c r="E816" s="651">
        <v>1</v>
      </c>
      <c r="F816" s="593"/>
      <c r="G816" s="593"/>
      <c r="H816" s="593"/>
      <c r="I816" s="588">
        <f>F808</f>
        <v>16.2</v>
      </c>
      <c r="J816" s="588">
        <f>E816*I816</f>
        <v>16.2</v>
      </c>
    </row>
    <row r="817" spans="2:10" s="577" customFormat="1">
      <c r="B817" s="643"/>
      <c r="C817" s="1087" t="s">
        <v>1196</v>
      </c>
      <c r="D817" s="1087"/>
      <c r="E817" s="1087"/>
      <c r="F817" s="1087"/>
      <c r="G817" s="1087"/>
      <c r="H817" s="1087"/>
      <c r="I817" s="1087"/>
      <c r="J817" s="599">
        <f>SUM(J816:J816)</f>
        <v>16.2</v>
      </c>
    </row>
    <row r="818" spans="2:10" s="577" customFormat="1">
      <c r="B818" s="582"/>
      <c r="C818" s="582"/>
      <c r="D818" s="582"/>
      <c r="E818" s="582"/>
      <c r="F818" s="582"/>
      <c r="G818" s="582"/>
      <c r="H818" s="582"/>
      <c r="I818" s="582"/>
      <c r="J818" s="582"/>
    </row>
    <row r="819" spans="2:10" s="577" customFormat="1">
      <c r="B819" s="1088" t="s">
        <v>1201</v>
      </c>
      <c r="C819" s="1088"/>
      <c r="D819" s="1088"/>
      <c r="E819" s="1088"/>
      <c r="F819" s="1088"/>
      <c r="G819" s="582"/>
      <c r="H819" s="582"/>
      <c r="I819" s="582"/>
      <c r="J819" s="582"/>
    </row>
    <row r="820" spans="2:10" s="577" customFormat="1">
      <c r="B820" s="1089" t="s">
        <v>1202</v>
      </c>
      <c r="C820" s="1090"/>
      <c r="D820" s="1091"/>
      <c r="E820" s="596" t="s">
        <v>1203</v>
      </c>
      <c r="F820" s="596" t="s">
        <v>1204</v>
      </c>
      <c r="G820" s="582"/>
      <c r="H820" s="582"/>
      <c r="I820" s="582"/>
      <c r="J820" s="582"/>
    </row>
    <row r="821" spans="2:10" s="577" customFormat="1">
      <c r="B821" s="1092" t="s">
        <v>1205</v>
      </c>
      <c r="C821" s="1093"/>
      <c r="D821" s="1094"/>
      <c r="E821" s="1172">
        <v>128.33000000000001</v>
      </c>
      <c r="F821" s="598">
        <f>J813</f>
        <v>2.2559999999999998</v>
      </c>
      <c r="G821" s="582"/>
      <c r="H821" s="582"/>
      <c r="I821" s="582"/>
      <c r="J821" s="582"/>
    </row>
    <row r="822" spans="2:10" s="577" customFormat="1">
      <c r="B822" s="1092" t="s">
        <v>1206</v>
      </c>
      <c r="C822" s="1093"/>
      <c r="D822" s="1094"/>
      <c r="E822" s="1173"/>
      <c r="F822" s="598">
        <f>J817</f>
        <v>16.2</v>
      </c>
      <c r="G822" s="582"/>
      <c r="H822" s="582"/>
      <c r="I822" s="582"/>
      <c r="J822" s="582"/>
    </row>
    <row r="823" spans="2:10" s="577" customFormat="1">
      <c r="B823" s="1092" t="s">
        <v>1207</v>
      </c>
      <c r="C823" s="1093"/>
      <c r="D823" s="1094"/>
      <c r="E823" s="1173"/>
      <c r="F823" s="598">
        <v>0</v>
      </c>
      <c r="G823" s="582"/>
      <c r="H823" s="582"/>
      <c r="I823" s="582"/>
      <c r="J823" s="582"/>
    </row>
    <row r="824" spans="2:10" s="577" customFormat="1">
      <c r="B824" s="1092" t="s">
        <v>1208</v>
      </c>
      <c r="C824" s="1093"/>
      <c r="D824" s="1094"/>
      <c r="E824" s="1173"/>
      <c r="F824" s="598">
        <v>1</v>
      </c>
      <c r="G824" s="582"/>
      <c r="H824" s="582"/>
      <c r="I824" s="582"/>
      <c r="J824" s="582"/>
    </row>
    <row r="825" spans="2:10" s="577" customFormat="1">
      <c r="B825" s="1092" t="s">
        <v>1209</v>
      </c>
      <c r="C825" s="1093"/>
      <c r="D825" s="1094"/>
      <c r="E825" s="1173"/>
      <c r="F825" s="598">
        <f>F821+F823</f>
        <v>2.2559999999999998</v>
      </c>
      <c r="G825" s="582"/>
      <c r="H825" s="582"/>
      <c r="I825" s="582"/>
      <c r="J825" s="582"/>
    </row>
    <row r="826" spans="2:10" s="577" customFormat="1">
      <c r="B826" s="1092" t="s">
        <v>1210</v>
      </c>
      <c r="C826" s="1093"/>
      <c r="D826" s="1094"/>
      <c r="E826" s="1173"/>
      <c r="F826" s="598">
        <f>(F821/F824)+(F823/F824)</f>
        <v>2.2559999999999998</v>
      </c>
      <c r="G826" s="582"/>
      <c r="H826" s="582"/>
      <c r="I826" s="582"/>
      <c r="J826" s="582"/>
    </row>
    <row r="827" spans="2:10" s="577" customFormat="1">
      <c r="B827" s="1092" t="s">
        <v>1211</v>
      </c>
      <c r="C827" s="1093"/>
      <c r="D827" s="1094"/>
      <c r="E827" s="1174"/>
      <c r="F827" s="598">
        <f>F822+F826</f>
        <v>18.456</v>
      </c>
      <c r="G827" s="582"/>
      <c r="H827" s="582"/>
      <c r="I827" s="582"/>
      <c r="J827" s="582"/>
    </row>
    <row r="828" spans="2:10" s="577" customFormat="1">
      <c r="B828" s="1092" t="s">
        <v>1212</v>
      </c>
      <c r="C828" s="1093"/>
      <c r="D828" s="1094"/>
      <c r="E828" s="1172">
        <v>0</v>
      </c>
      <c r="F828" s="598">
        <f>F827*(E828/100)</f>
        <v>0</v>
      </c>
      <c r="G828" s="582"/>
      <c r="H828" s="582"/>
      <c r="I828" s="582"/>
      <c r="J828" s="582"/>
    </row>
    <row r="829" spans="2:10" s="577" customFormat="1">
      <c r="B829" s="1095" t="s">
        <v>1213</v>
      </c>
      <c r="C829" s="1096"/>
      <c r="D829" s="1097"/>
      <c r="E829" s="1174"/>
      <c r="F829" s="600">
        <f>F827+F828</f>
        <v>18.456</v>
      </c>
      <c r="G829" s="582"/>
      <c r="H829" s="582"/>
      <c r="I829" s="582"/>
      <c r="J829" s="582"/>
    </row>
    <row r="830" spans="2:10" s="577" customFormat="1"/>
    <row r="831" spans="2:10" s="577" customFormat="1"/>
    <row r="832" spans="2:10" s="577" customFormat="1"/>
    <row r="833" spans="2:10" s="577" customFormat="1"/>
    <row r="834" spans="2:10" s="577" customFormat="1"/>
    <row r="835" spans="2:10" s="577" customFormat="1">
      <c r="B835" s="578" t="s">
        <v>1363</v>
      </c>
      <c r="C835" s="582"/>
      <c r="D835" s="582"/>
      <c r="E835" s="582"/>
      <c r="F835" s="582"/>
      <c r="G835" s="1040" t="s">
        <v>1354</v>
      </c>
      <c r="H835" s="582"/>
      <c r="I835" s="674" t="s">
        <v>1261</v>
      </c>
      <c r="J835" s="582"/>
    </row>
    <row r="836" spans="2:10" s="577" customFormat="1">
      <c r="B836" s="582" t="s">
        <v>1355</v>
      </c>
      <c r="C836" s="582"/>
      <c r="D836" s="582"/>
      <c r="E836" s="582"/>
      <c r="F836" s="582"/>
      <c r="G836" s="604"/>
      <c r="H836" s="604"/>
      <c r="I836" s="582"/>
      <c r="J836" s="582"/>
    </row>
    <row r="837" spans="2:10" s="577" customFormat="1">
      <c r="B837" s="582"/>
      <c r="C837" s="582"/>
      <c r="D837" s="582"/>
      <c r="E837" s="582"/>
      <c r="F837" s="582"/>
      <c r="G837" s="604"/>
      <c r="H837" s="604"/>
      <c r="I837" s="582"/>
      <c r="J837" s="582"/>
    </row>
    <row r="838" spans="2:10" s="577" customFormat="1">
      <c r="B838" s="583" t="s">
        <v>1175</v>
      </c>
      <c r="C838" s="583"/>
      <c r="D838" s="584"/>
      <c r="E838" s="584"/>
      <c r="F838" s="584"/>
      <c r="G838" s="604"/>
      <c r="H838" s="604"/>
      <c r="I838" s="582"/>
      <c r="J838" s="582"/>
    </row>
    <row r="839" spans="2:10" s="577" customFormat="1">
      <c r="B839" s="584"/>
      <c r="C839" s="584"/>
      <c r="D839" s="584"/>
      <c r="E839" s="584"/>
      <c r="F839" s="584"/>
      <c r="G839" s="604"/>
      <c r="H839" s="604"/>
      <c r="I839" s="582"/>
      <c r="J839" s="582"/>
    </row>
    <row r="840" spans="2:10" s="577" customFormat="1" ht="30">
      <c r="B840" s="585" t="s">
        <v>1176</v>
      </c>
      <c r="C840" s="1075" t="s">
        <v>1177</v>
      </c>
      <c r="D840" s="1075"/>
      <c r="E840" s="585" t="s">
        <v>1178</v>
      </c>
      <c r="F840" s="585" t="s">
        <v>1356</v>
      </c>
      <c r="G840" s="604"/>
      <c r="H840" s="604"/>
      <c r="I840" s="582"/>
      <c r="J840" s="582"/>
    </row>
    <row r="841" spans="2:10" s="577" customFormat="1">
      <c r="B841" s="618" t="s">
        <v>1357</v>
      </c>
      <c r="C841" s="1078" t="s">
        <v>1265</v>
      </c>
      <c r="D841" s="1078"/>
      <c r="E841" s="588" t="s">
        <v>691</v>
      </c>
      <c r="F841" s="588">
        <v>2.5</v>
      </c>
      <c r="G841" s="604"/>
      <c r="H841" s="604"/>
      <c r="I841" s="582"/>
      <c r="J841" s="582"/>
    </row>
    <row r="842" spans="2:10" s="577" customFormat="1" ht="28.5">
      <c r="B842" s="636" t="s">
        <v>1358</v>
      </c>
      <c r="C842" s="1078" t="s">
        <v>1267</v>
      </c>
      <c r="D842" s="1078"/>
      <c r="E842" s="588" t="s">
        <v>691</v>
      </c>
      <c r="F842" s="588">
        <v>2.8</v>
      </c>
      <c r="G842" s="604"/>
      <c r="H842" s="604"/>
      <c r="I842" s="582"/>
      <c r="J842" s="582"/>
    </row>
    <row r="843" spans="2:10" s="577" customFormat="1" ht="28.5">
      <c r="B843" s="636" t="s">
        <v>1359</v>
      </c>
      <c r="C843" s="1078" t="s">
        <v>1269</v>
      </c>
      <c r="D843" s="1078"/>
      <c r="E843" s="588" t="s">
        <v>691</v>
      </c>
      <c r="F843" s="588">
        <v>3.44</v>
      </c>
      <c r="G843" s="604"/>
      <c r="H843" s="604"/>
      <c r="I843" s="582"/>
      <c r="J843" s="582"/>
    </row>
    <row r="844" spans="2:10" s="577" customFormat="1">
      <c r="B844" s="1101" t="s">
        <v>1186</v>
      </c>
      <c r="C844" s="1101"/>
      <c r="D844" s="1101"/>
      <c r="E844" s="1101"/>
      <c r="F844" s="590">
        <f>F841</f>
        <v>2.5</v>
      </c>
      <c r="G844" s="687"/>
      <c r="H844" s="687"/>
      <c r="I844" s="582"/>
      <c r="J844" s="582"/>
    </row>
    <row r="845" spans="2:10" s="577" customFormat="1">
      <c r="B845" s="582"/>
      <c r="C845" s="582"/>
      <c r="D845" s="582"/>
      <c r="E845" s="582"/>
      <c r="F845" s="582"/>
      <c r="G845" s="582"/>
      <c r="H845" s="582"/>
      <c r="I845" s="582"/>
      <c r="J845" s="582"/>
    </row>
    <row r="846" spans="2:10" s="577" customFormat="1">
      <c r="B846" s="585" t="s">
        <v>1187</v>
      </c>
      <c r="C846" s="585" t="s">
        <v>1178</v>
      </c>
      <c r="D846" s="585" t="s">
        <v>1188</v>
      </c>
      <c r="E846" s="585" t="s">
        <v>1189</v>
      </c>
      <c r="F846" s="585" t="s">
        <v>1190</v>
      </c>
      <c r="G846" s="585" t="s">
        <v>1191</v>
      </c>
      <c r="H846" s="585" t="s">
        <v>1192</v>
      </c>
      <c r="I846" s="585" t="s">
        <v>1179</v>
      </c>
      <c r="J846" s="585" t="s">
        <v>1193</v>
      </c>
    </row>
    <row r="847" spans="2:10" s="577" customFormat="1">
      <c r="B847" s="591" t="s">
        <v>1360</v>
      </c>
      <c r="C847" s="591" t="s">
        <v>1195</v>
      </c>
      <c r="D847" s="592">
        <v>88248</v>
      </c>
      <c r="E847" s="591">
        <v>0.12</v>
      </c>
      <c r="F847" s="593"/>
      <c r="G847" s="593"/>
      <c r="H847" s="593"/>
      <c r="I847" s="593">
        <v>14.77</v>
      </c>
      <c r="J847" s="593">
        <f>E847*I847</f>
        <v>1.7724</v>
      </c>
    </row>
    <row r="848" spans="2:10" s="577" customFormat="1">
      <c r="B848" s="591" t="s">
        <v>1361</v>
      </c>
      <c r="C848" s="591" t="s">
        <v>1195</v>
      </c>
      <c r="D848" s="592">
        <v>88267</v>
      </c>
      <c r="E848" s="591">
        <v>0.12</v>
      </c>
      <c r="F848" s="593"/>
      <c r="G848" s="593"/>
      <c r="H848" s="593"/>
      <c r="I848" s="593">
        <v>18.8</v>
      </c>
      <c r="J848" s="593">
        <f>E848*I848</f>
        <v>2.2559999999999998</v>
      </c>
    </row>
    <row r="849" spans="2:10" s="577" customFormat="1">
      <c r="B849" s="1087" t="s">
        <v>1196</v>
      </c>
      <c r="C849" s="1087"/>
      <c r="D849" s="1087"/>
      <c r="E849" s="1087"/>
      <c r="F849" s="1087"/>
      <c r="G849" s="1087"/>
      <c r="H849" s="1087"/>
      <c r="I849" s="1087"/>
      <c r="J849" s="599">
        <f>J848</f>
        <v>2.2559999999999998</v>
      </c>
    </row>
    <row r="850" spans="2:10" s="577" customFormat="1">
      <c r="B850" s="606"/>
      <c r="C850" s="606"/>
      <c r="D850" s="606"/>
      <c r="E850" s="606"/>
      <c r="F850" s="606"/>
      <c r="G850" s="606"/>
      <c r="H850" s="606"/>
      <c r="I850" s="606"/>
      <c r="J850" s="606"/>
    </row>
    <row r="851" spans="2:10" s="577" customFormat="1">
      <c r="B851" s="585" t="s">
        <v>1197</v>
      </c>
      <c r="C851" s="585" t="s">
        <v>1178</v>
      </c>
      <c r="D851" s="585" t="s">
        <v>1188</v>
      </c>
      <c r="E851" s="585" t="s">
        <v>1189</v>
      </c>
      <c r="F851" s="585" t="s">
        <v>1190</v>
      </c>
      <c r="G851" s="585" t="s">
        <v>1191</v>
      </c>
      <c r="H851" s="585" t="s">
        <v>1192</v>
      </c>
      <c r="I851" s="585" t="s">
        <v>1179</v>
      </c>
      <c r="J851" s="585" t="s">
        <v>1193</v>
      </c>
    </row>
    <row r="852" spans="2:10" s="577" customFormat="1">
      <c r="B852" s="617" t="s">
        <v>1364</v>
      </c>
      <c r="C852" s="588" t="s">
        <v>1199</v>
      </c>
      <c r="D852" s="602" t="s">
        <v>1200</v>
      </c>
      <c r="E852" s="651">
        <v>1</v>
      </c>
      <c r="F852" s="593"/>
      <c r="G852" s="593"/>
      <c r="H852" s="593"/>
      <c r="I852" s="588">
        <f>F844</f>
        <v>2.5</v>
      </c>
      <c r="J852" s="588">
        <f>E852*I852</f>
        <v>2.5</v>
      </c>
    </row>
    <row r="853" spans="2:10" s="577" customFormat="1">
      <c r="B853" s="643"/>
      <c r="C853" s="1087" t="s">
        <v>1196</v>
      </c>
      <c r="D853" s="1087"/>
      <c r="E853" s="1087"/>
      <c r="F853" s="1087"/>
      <c r="G853" s="1087"/>
      <c r="H853" s="1087"/>
      <c r="I853" s="1087"/>
      <c r="J853" s="599">
        <f>SUM(J852:J852)</f>
        <v>2.5</v>
      </c>
    </row>
    <row r="854" spans="2:10" s="577" customFormat="1">
      <c r="B854" s="582"/>
      <c r="C854" s="582"/>
      <c r="D854" s="582"/>
      <c r="E854" s="582"/>
      <c r="F854" s="582"/>
      <c r="G854" s="582"/>
      <c r="H854" s="582"/>
      <c r="I854" s="582"/>
      <c r="J854" s="582"/>
    </row>
    <row r="855" spans="2:10" s="577" customFormat="1">
      <c r="B855" s="1088" t="s">
        <v>1201</v>
      </c>
      <c r="C855" s="1088"/>
      <c r="D855" s="1088"/>
      <c r="E855" s="1088"/>
      <c r="F855" s="1088"/>
      <c r="G855" s="582"/>
      <c r="H855" s="582"/>
      <c r="I855" s="582"/>
      <c r="J855" s="582"/>
    </row>
    <row r="856" spans="2:10" s="577" customFormat="1">
      <c r="B856" s="1089" t="s">
        <v>1202</v>
      </c>
      <c r="C856" s="1090"/>
      <c r="D856" s="1091"/>
      <c r="E856" s="596" t="s">
        <v>1203</v>
      </c>
      <c r="F856" s="596" t="s">
        <v>1204</v>
      </c>
      <c r="G856" s="582"/>
      <c r="H856" s="582"/>
      <c r="I856" s="582"/>
      <c r="J856" s="582"/>
    </row>
    <row r="857" spans="2:10" s="577" customFormat="1">
      <c r="B857" s="1092" t="s">
        <v>1205</v>
      </c>
      <c r="C857" s="1093"/>
      <c r="D857" s="1094"/>
      <c r="E857" s="1172">
        <v>128.33000000000001</v>
      </c>
      <c r="F857" s="598">
        <f>J849</f>
        <v>2.2559999999999998</v>
      </c>
      <c r="G857" s="582"/>
      <c r="H857" s="582"/>
      <c r="I857" s="582"/>
      <c r="J857" s="582"/>
    </row>
    <row r="858" spans="2:10" s="577" customFormat="1">
      <c r="B858" s="1092" t="s">
        <v>1206</v>
      </c>
      <c r="C858" s="1093"/>
      <c r="D858" s="1094"/>
      <c r="E858" s="1173"/>
      <c r="F858" s="598">
        <f>J853</f>
        <v>2.5</v>
      </c>
      <c r="G858" s="582"/>
      <c r="H858" s="582"/>
      <c r="I858" s="582"/>
      <c r="J858" s="582"/>
    </row>
    <row r="859" spans="2:10" s="577" customFormat="1">
      <c r="B859" s="1092" t="s">
        <v>1207</v>
      </c>
      <c r="C859" s="1093"/>
      <c r="D859" s="1094"/>
      <c r="E859" s="1173"/>
      <c r="F859" s="598">
        <v>0</v>
      </c>
      <c r="G859" s="582"/>
      <c r="H859" s="582"/>
      <c r="I859" s="582"/>
      <c r="J859" s="582"/>
    </row>
    <row r="860" spans="2:10" s="577" customFormat="1">
      <c r="B860" s="1092" t="s">
        <v>1208</v>
      </c>
      <c r="C860" s="1093"/>
      <c r="D860" s="1094"/>
      <c r="E860" s="1173"/>
      <c r="F860" s="598">
        <v>1</v>
      </c>
      <c r="G860" s="582"/>
      <c r="H860" s="582"/>
      <c r="I860" s="582"/>
      <c r="J860" s="582"/>
    </row>
    <row r="861" spans="2:10" s="577" customFormat="1">
      <c r="B861" s="1092" t="s">
        <v>1209</v>
      </c>
      <c r="C861" s="1093"/>
      <c r="D861" s="1094"/>
      <c r="E861" s="1173"/>
      <c r="F861" s="598">
        <f>F857+F859</f>
        <v>2.2559999999999998</v>
      </c>
      <c r="G861" s="582"/>
      <c r="H861" s="582"/>
      <c r="I861" s="582"/>
      <c r="J861" s="582"/>
    </row>
    <row r="862" spans="2:10" s="577" customFormat="1">
      <c r="B862" s="1092" t="s">
        <v>1210</v>
      </c>
      <c r="C862" s="1093"/>
      <c r="D862" s="1094"/>
      <c r="E862" s="1173"/>
      <c r="F862" s="598">
        <f>(F857/F860)+(F859/F860)</f>
        <v>2.2559999999999998</v>
      </c>
      <c r="G862" s="582"/>
      <c r="H862" s="582"/>
      <c r="I862" s="582"/>
      <c r="J862" s="582"/>
    </row>
    <row r="863" spans="2:10" s="577" customFormat="1">
      <c r="B863" s="1092" t="s">
        <v>1211</v>
      </c>
      <c r="C863" s="1093"/>
      <c r="D863" s="1094"/>
      <c r="E863" s="1174"/>
      <c r="F863" s="598">
        <f>F858+F862</f>
        <v>4.7560000000000002</v>
      </c>
      <c r="G863" s="582"/>
      <c r="H863" s="582"/>
      <c r="I863" s="582"/>
      <c r="J863" s="582"/>
    </row>
    <row r="864" spans="2:10" s="577" customFormat="1">
      <c r="B864" s="1092" t="s">
        <v>1212</v>
      </c>
      <c r="C864" s="1093"/>
      <c r="D864" s="1094"/>
      <c r="E864" s="1172">
        <v>0</v>
      </c>
      <c r="F864" s="598">
        <f>F863*(E864/100)</f>
        <v>0</v>
      </c>
      <c r="G864" s="582"/>
      <c r="H864" s="582"/>
      <c r="I864" s="582"/>
      <c r="J864" s="582"/>
    </row>
    <row r="865" spans="2:11" s="577" customFormat="1">
      <c r="B865" s="1095" t="s">
        <v>1213</v>
      </c>
      <c r="C865" s="1096"/>
      <c r="D865" s="1097"/>
      <c r="E865" s="1174"/>
      <c r="F865" s="600">
        <f>F863+F864</f>
        <v>4.7560000000000002</v>
      </c>
      <c r="G865" s="582"/>
      <c r="H865" s="582"/>
      <c r="I865" s="582"/>
      <c r="J865" s="582"/>
    </row>
    <row r="866" spans="2:11" s="577" customFormat="1"/>
    <row r="867" spans="2:11" s="577" customFormat="1"/>
    <row r="868" spans="2:11" s="577" customFormat="1"/>
    <row r="869" spans="2:11" s="577" customFormat="1"/>
    <row r="870" spans="2:11" s="577" customFormat="1" ht="15.75">
      <c r="B870" s="1112" t="s">
        <v>1365</v>
      </c>
      <c r="C870" s="1112"/>
      <c r="D870" s="1112"/>
      <c r="E870" s="1112"/>
      <c r="F870" s="1112"/>
      <c r="G870"/>
      <c r="H870"/>
      <c r="I870" s="703"/>
      <c r="J870" s="703"/>
      <c r="K870" s="704"/>
    </row>
    <row r="871" spans="2:11" s="577" customFormat="1" ht="15.75">
      <c r="B871" s="1113" t="s">
        <v>1366</v>
      </c>
      <c r="C871" s="1113"/>
      <c r="D871" s="1113"/>
      <c r="E871" s="1113"/>
      <c r="F871" s="1113"/>
      <c r="G871" s="1113"/>
      <c r="H871" s="1113"/>
      <c r="I871" s="705"/>
      <c r="J871" s="705"/>
      <c r="K871" s="705"/>
    </row>
    <row r="872" spans="2:11" s="577" customFormat="1" ht="15.75">
      <c r="B872" s="688" t="s">
        <v>1187</v>
      </c>
      <c r="C872" s="688" t="s">
        <v>1188</v>
      </c>
      <c r="D872" s="688" t="s">
        <v>1367</v>
      </c>
      <c r="E872" s="688" t="s">
        <v>1368</v>
      </c>
      <c r="F872" s="688" t="s">
        <v>1369</v>
      </c>
      <c r="G872" s="688" t="s">
        <v>1370</v>
      </c>
      <c r="H872" s="689"/>
      <c r="I872" s="703"/>
      <c r="J872" s="703"/>
      <c r="K872" s="703"/>
    </row>
    <row r="873" spans="2:11" s="577" customFormat="1" ht="30">
      <c r="B873" s="690" t="s">
        <v>1371</v>
      </c>
      <c r="C873" s="691">
        <v>312505</v>
      </c>
      <c r="D873" s="691" t="s">
        <v>1372</v>
      </c>
      <c r="E873" s="692">
        <v>14761.89</v>
      </c>
      <c r="F873" s="692">
        <v>7</v>
      </c>
      <c r="G873" s="693">
        <f>E873*F873</f>
        <v>103333.23</v>
      </c>
      <c r="H873" s="689"/>
      <c r="I873" s="706"/>
      <c r="J873" s="706"/>
      <c r="K873" s="706"/>
    </row>
    <row r="874" spans="2:11" s="577" customFormat="1" ht="45">
      <c r="B874" s="690" t="s">
        <v>1373</v>
      </c>
      <c r="C874" s="691">
        <v>312505</v>
      </c>
      <c r="D874" s="691" t="s">
        <v>1372</v>
      </c>
      <c r="E874" s="692">
        <v>14761.89</v>
      </c>
      <c r="F874" s="692">
        <v>1</v>
      </c>
      <c r="G874" s="693">
        <f>E874*F874</f>
        <v>14761.89</v>
      </c>
      <c r="H874" s="689"/>
      <c r="I874" s="706"/>
      <c r="J874" s="706"/>
      <c r="K874" s="706"/>
    </row>
    <row r="875" spans="2:11" s="577" customFormat="1" ht="15.75">
      <c r="B875" s="690" t="s">
        <v>1374</v>
      </c>
      <c r="C875" s="691">
        <v>312520</v>
      </c>
      <c r="D875" s="691" t="s">
        <v>1372</v>
      </c>
      <c r="E875" s="692">
        <v>1674.16</v>
      </c>
      <c r="F875" s="692">
        <v>12</v>
      </c>
      <c r="G875" s="692">
        <f>F875*E875</f>
        <v>20089.920000000002</v>
      </c>
      <c r="H875" s="689"/>
      <c r="I875" s="704"/>
      <c r="J875" s="704"/>
      <c r="K875" s="704"/>
    </row>
    <row r="876" spans="2:11" s="577" customFormat="1" ht="30">
      <c r="B876" s="690" t="s">
        <v>1375</v>
      </c>
      <c r="C876" s="691">
        <v>312522</v>
      </c>
      <c r="D876" s="691" t="s">
        <v>1372</v>
      </c>
      <c r="E876" s="692">
        <v>3172.11</v>
      </c>
      <c r="F876" s="692">
        <v>12</v>
      </c>
      <c r="G876" s="692">
        <f>F876*E876</f>
        <v>38065.32</v>
      </c>
      <c r="H876"/>
      <c r="I876" s="703"/>
      <c r="J876" s="703"/>
      <c r="K876" s="703"/>
    </row>
    <row r="877" spans="2:11" s="577" customFormat="1" ht="15.75">
      <c r="B877" s="1114" t="s">
        <v>1376</v>
      </c>
      <c r="C877" s="1115"/>
      <c r="D877" s="1115"/>
      <c r="E877" s="1115"/>
      <c r="F877" s="1116"/>
      <c r="G877" s="694">
        <f>SUM(G873:G876)</f>
        <v>176250.36000000002</v>
      </c>
      <c r="H877"/>
      <c r="I877" s="707"/>
      <c r="J877" s="708"/>
      <c r="K877" s="709"/>
    </row>
    <row r="878" spans="2:11" s="577" customFormat="1">
      <c r="I878" s="647"/>
      <c r="J878" s="647"/>
      <c r="K878" s="647"/>
    </row>
    <row r="879" spans="2:11" s="577" customFormat="1">
      <c r="I879" s="647"/>
      <c r="J879" s="647"/>
      <c r="K879" s="647"/>
    </row>
    <row r="880" spans="2:11" s="577" customFormat="1" ht="15.75">
      <c r="B880" s="1117" t="s">
        <v>1377</v>
      </c>
      <c r="C880" s="1117"/>
      <c r="D880"/>
    </row>
    <row r="881" spans="2:11" s="577" customFormat="1" ht="15.75">
      <c r="B881" s="1113"/>
      <c r="C881" s="1113"/>
      <c r="D881" s="1113"/>
    </row>
    <row r="882" spans="2:11" s="577" customFormat="1" ht="15.75">
      <c r="B882" s="1118" t="s">
        <v>1378</v>
      </c>
      <c r="C882" s="1119"/>
      <c r="D882" s="1120"/>
    </row>
    <row r="883" spans="2:11" s="577" customFormat="1">
      <c r="B883" s="1121">
        <f ca="1">'Planilha Orçamentária'!K429</f>
        <v>3633596.3558198134</v>
      </c>
      <c r="C883" s="1122"/>
      <c r="D883" s="1123"/>
    </row>
    <row r="884" spans="2:11" s="577" customFormat="1">
      <c r="B884"/>
      <c r="C884"/>
      <c r="D884"/>
    </row>
    <row r="885" spans="2:11" s="577" customFormat="1" ht="15.75">
      <c r="B885" s="1118" t="s">
        <v>1379</v>
      </c>
      <c r="C885" s="1119"/>
      <c r="D885" s="1120"/>
    </row>
    <row r="886" spans="2:11" s="577" customFormat="1">
      <c r="B886" s="695">
        <f ca="1">G877/B883</f>
        <v>4.8505761989139362E-2</v>
      </c>
      <c r="C886" s="696" t="str">
        <f ca="1">IF(B886&lt;5%,"OK","CORRIGIR")</f>
        <v>OK</v>
      </c>
      <c r="D886" s="697" t="s">
        <v>1380</v>
      </c>
    </row>
    <row r="887" spans="2:11" s="577" customFormat="1"/>
    <row r="888" spans="2:11" s="577" customFormat="1"/>
    <row r="889" spans="2:11" s="577" customFormat="1"/>
    <row r="890" spans="2:11" s="577" customFormat="1"/>
    <row r="891" spans="2:11" s="580" customFormat="1" ht="15.75" customHeight="1">
      <c r="B891" s="1124" t="s">
        <v>1381</v>
      </c>
      <c r="C891" s="1124"/>
      <c r="D891" s="1124"/>
      <c r="E891" s="1124"/>
      <c r="F891" s="1124"/>
      <c r="I891" s="698" t="s">
        <v>1382</v>
      </c>
      <c r="J891" s="698"/>
    </row>
    <row r="892" spans="2:11" s="580" customFormat="1" ht="15.75">
      <c r="B892" s="1125" t="s">
        <v>1383</v>
      </c>
      <c r="C892" s="1125"/>
      <c r="D892" s="1125"/>
      <c r="E892" s="1125"/>
      <c r="F892" s="698"/>
      <c r="G892" s="698"/>
      <c r="H892" s="698"/>
      <c r="I892" s="698"/>
      <c r="J892" s="698"/>
      <c r="K892" s="698"/>
    </row>
    <row r="893" spans="2:11" s="580" customFormat="1" ht="15.75">
      <c r="B893" s="698"/>
      <c r="C893" s="698"/>
      <c r="D893" s="698"/>
      <c r="E893" s="698"/>
      <c r="F893" s="698"/>
      <c r="G893" s="698"/>
      <c r="H893" s="698"/>
      <c r="I893" s="698"/>
      <c r="J893" s="698"/>
      <c r="K893" s="698"/>
    </row>
    <row r="894" spans="2:11" s="580" customFormat="1" ht="15.75">
      <c r="B894" s="699" t="s">
        <v>1175</v>
      </c>
      <c r="C894" s="699"/>
      <c r="D894" s="700"/>
      <c r="E894" s="700"/>
      <c r="F894" s="700"/>
      <c r="G894" s="700"/>
      <c r="H894" s="700"/>
      <c r="I894" s="700"/>
      <c r="J894" s="700"/>
      <c r="K894" s="700"/>
    </row>
    <row r="895" spans="2:11" s="580" customFormat="1" ht="15.75">
      <c r="B895" s="700"/>
      <c r="C895" s="700"/>
      <c r="D895" s="700"/>
      <c r="E895" s="700"/>
      <c r="F895" s="700"/>
      <c r="G895" s="700"/>
      <c r="H895" s="700"/>
      <c r="I895" s="700"/>
      <c r="J895" s="700"/>
      <c r="K895" s="700"/>
    </row>
    <row r="896" spans="2:11" s="580" customFormat="1" ht="15.75">
      <c r="B896" s="701" t="s">
        <v>1176</v>
      </c>
      <c r="C896" s="1126" t="s">
        <v>1177</v>
      </c>
      <c r="D896" s="1126"/>
      <c r="E896" s="701" t="s">
        <v>1178</v>
      </c>
      <c r="F896" s="701" t="s">
        <v>1186</v>
      </c>
      <c r="G896" s="702"/>
      <c r="H896" s="700"/>
      <c r="I896" s="700"/>
      <c r="J896" s="700"/>
      <c r="K896" s="700"/>
    </row>
    <row r="897" spans="2:11" s="580" customFormat="1" ht="15.75">
      <c r="B897" s="618" t="s">
        <v>1357</v>
      </c>
      <c r="C897" s="1127" t="s">
        <v>1265</v>
      </c>
      <c r="D897" s="1127"/>
      <c r="E897" s="710" t="s">
        <v>691</v>
      </c>
      <c r="F897" s="711">
        <v>45.9</v>
      </c>
      <c r="G897" s="712"/>
      <c r="H897" s="700"/>
      <c r="I897" s="700"/>
      <c r="J897" s="700"/>
      <c r="K897" s="700"/>
    </row>
    <row r="898" spans="2:11" s="580" customFormat="1" ht="28.5">
      <c r="B898" s="636" t="s">
        <v>1358</v>
      </c>
      <c r="C898" s="1127" t="s">
        <v>1267</v>
      </c>
      <c r="D898" s="1127"/>
      <c r="E898" s="710" t="s">
        <v>691</v>
      </c>
      <c r="F898" s="711">
        <v>43.9</v>
      </c>
      <c r="G898" s="712"/>
      <c r="H898" s="700"/>
      <c r="I898" s="700"/>
      <c r="J898" s="700"/>
      <c r="K898" s="700"/>
    </row>
    <row r="899" spans="2:11" s="580" customFormat="1" ht="28.5">
      <c r="B899" s="636" t="s">
        <v>1359</v>
      </c>
      <c r="C899" s="1127" t="s">
        <v>1269</v>
      </c>
      <c r="D899" s="1127"/>
      <c r="E899" s="710" t="s">
        <v>691</v>
      </c>
      <c r="F899" s="711">
        <v>43.7</v>
      </c>
      <c r="G899" s="712"/>
      <c r="H899" s="700"/>
      <c r="I899" s="700"/>
      <c r="J899" s="700"/>
      <c r="K899" s="700"/>
    </row>
    <row r="900" spans="2:11" s="580" customFormat="1" ht="15.75">
      <c r="B900" s="713"/>
      <c r="C900" s="714"/>
      <c r="D900" s="714"/>
      <c r="E900" s="715"/>
      <c r="F900" s="716"/>
      <c r="G900" s="717"/>
      <c r="H900" s="700"/>
      <c r="I900" s="700"/>
      <c r="J900" s="700"/>
      <c r="K900" s="700"/>
    </row>
    <row r="901" spans="2:11" s="580" customFormat="1" ht="15.75">
      <c r="B901" s="1128"/>
      <c r="C901" s="1128"/>
      <c r="D901" s="1128"/>
      <c r="E901" s="1128"/>
      <c r="F901" s="1128"/>
      <c r="G901" s="1128"/>
      <c r="H901" s="1128"/>
      <c r="I901" s="1128"/>
      <c r="J901" s="1128"/>
      <c r="K901" s="1128"/>
    </row>
    <row r="902" spans="2:11" s="580" customFormat="1" ht="31.5">
      <c r="B902" s="718" t="s">
        <v>1187</v>
      </c>
      <c r="C902" s="719" t="s">
        <v>1178</v>
      </c>
      <c r="D902" s="720" t="s">
        <v>1188</v>
      </c>
      <c r="E902" s="721" t="s">
        <v>1189</v>
      </c>
      <c r="F902" s="721" t="s">
        <v>1190</v>
      </c>
      <c r="G902" s="721" t="s">
        <v>1191</v>
      </c>
      <c r="H902" s="721" t="s">
        <v>1192</v>
      </c>
      <c r="I902" s="721" t="s">
        <v>1179</v>
      </c>
      <c r="J902" s="721" t="s">
        <v>1193</v>
      </c>
      <c r="K902" s="721" t="s">
        <v>1220</v>
      </c>
    </row>
    <row r="903" spans="2:11" s="580" customFormat="1" ht="15.75">
      <c r="B903" s="722" t="s">
        <v>1384</v>
      </c>
      <c r="C903" s="723" t="s">
        <v>1195</v>
      </c>
      <c r="D903" s="724">
        <v>10101</v>
      </c>
      <c r="E903" s="725">
        <v>1</v>
      </c>
      <c r="F903" s="726">
        <v>1</v>
      </c>
      <c r="G903" s="726"/>
      <c r="H903" s="726">
        <v>0</v>
      </c>
      <c r="I903" s="726">
        <v>14.98</v>
      </c>
      <c r="J903" s="726" t="s">
        <v>1223</v>
      </c>
      <c r="K903" s="734">
        <f>E903*I903</f>
        <v>14.98</v>
      </c>
    </row>
    <row r="904" spans="2:11" s="580" customFormat="1" ht="15.75">
      <c r="B904" s="722" t="s">
        <v>1385</v>
      </c>
      <c r="C904" s="723" t="s">
        <v>1195</v>
      </c>
      <c r="D904" s="724">
        <v>10115</v>
      </c>
      <c r="E904" s="725">
        <v>1</v>
      </c>
      <c r="F904" s="726">
        <v>1</v>
      </c>
      <c r="G904" s="726"/>
      <c r="H904" s="726">
        <v>0</v>
      </c>
      <c r="I904" s="726">
        <v>22.54</v>
      </c>
      <c r="J904" s="726" t="s">
        <v>1223</v>
      </c>
      <c r="K904" s="734">
        <f>E904*I904</f>
        <v>22.54</v>
      </c>
    </row>
    <row r="905" spans="2:11" s="580" customFormat="1" ht="15.75">
      <c r="B905" s="1129" t="s">
        <v>1196</v>
      </c>
      <c r="C905" s="1130"/>
      <c r="D905" s="1131"/>
      <c r="E905" s="1130"/>
      <c r="F905" s="1130"/>
      <c r="G905" s="1130"/>
      <c r="H905" s="1130"/>
      <c r="I905" s="1130"/>
      <c r="J905" s="1132"/>
      <c r="K905" s="733">
        <f>K903+K904</f>
        <v>37.519999999999996</v>
      </c>
    </row>
    <row r="906" spans="2:11" s="580" customFormat="1" ht="15.75">
      <c r="B906" s="1133"/>
      <c r="C906" s="1133"/>
      <c r="D906" s="1133"/>
      <c r="E906" s="1133"/>
      <c r="F906" s="1133"/>
      <c r="G906" s="1133"/>
      <c r="H906" s="1133"/>
      <c r="I906" s="1133"/>
      <c r="J906" s="1133"/>
      <c r="K906" s="1133"/>
    </row>
    <row r="907" spans="2:11" s="580" customFormat="1" ht="31.5">
      <c r="B907" s="718" t="s">
        <v>1197</v>
      </c>
      <c r="C907" s="719" t="s">
        <v>1178</v>
      </c>
      <c r="D907" s="719" t="s">
        <v>1188</v>
      </c>
      <c r="E907" s="721" t="s">
        <v>1189</v>
      </c>
      <c r="F907" s="721" t="s">
        <v>1190</v>
      </c>
      <c r="G907" s="721" t="s">
        <v>1191</v>
      </c>
      <c r="H907" s="721" t="s">
        <v>1192</v>
      </c>
      <c r="I907" s="721" t="s">
        <v>1179</v>
      </c>
      <c r="J907" s="721" t="s">
        <v>1193</v>
      </c>
      <c r="K907" s="721" t="s">
        <v>1220</v>
      </c>
    </row>
    <row r="908" spans="2:11" s="580" customFormat="1" ht="30">
      <c r="B908" s="727" t="s">
        <v>1386</v>
      </c>
      <c r="C908" s="728" t="s">
        <v>691</v>
      </c>
      <c r="D908" s="729" t="s">
        <v>1387</v>
      </c>
      <c r="E908" s="730">
        <v>1</v>
      </c>
      <c r="F908" s="730"/>
      <c r="G908" s="730"/>
      <c r="H908" s="730"/>
      <c r="I908" s="735">
        <f>SMALL(F896:F898,1)</f>
        <v>43.9</v>
      </c>
      <c r="J908" s="730" t="s">
        <v>1223</v>
      </c>
      <c r="K908" s="736">
        <f>E908*I908</f>
        <v>43.9</v>
      </c>
    </row>
    <row r="909" spans="2:11" s="580" customFormat="1" ht="15.75">
      <c r="B909" s="1134" t="s">
        <v>1196</v>
      </c>
      <c r="C909" s="1134"/>
      <c r="D909" s="1134"/>
      <c r="E909" s="1134"/>
      <c r="F909" s="1134"/>
      <c r="G909" s="1134"/>
      <c r="H909" s="1134"/>
      <c r="I909" s="1134"/>
      <c r="J909" s="1134"/>
      <c r="K909" s="737">
        <f>SUM(K908:K908)</f>
        <v>43.9</v>
      </c>
    </row>
    <row r="910" spans="2:11" s="580" customFormat="1" ht="15.75">
      <c r="B910" s="1135"/>
      <c r="C910" s="1135"/>
      <c r="D910" s="1135"/>
      <c r="E910" s="1135"/>
      <c r="F910" s="1135"/>
      <c r="G910" s="1135"/>
      <c r="H910" s="1135"/>
      <c r="I910" s="1135"/>
      <c r="J910" s="1135"/>
      <c r="K910" s="1135"/>
    </row>
    <row r="911" spans="2:11" s="580" customFormat="1" ht="15.75">
      <c r="B911" s="1125" t="s">
        <v>1201</v>
      </c>
      <c r="C911" s="1125"/>
      <c r="D911" s="1125"/>
      <c r="E911" s="1125"/>
      <c r="F911" s="1125"/>
      <c r="G911" s="731"/>
      <c r="H911" s="731"/>
      <c r="I911" s="731"/>
      <c r="J911" s="731"/>
      <c r="K911" s="731"/>
    </row>
    <row r="912" spans="2:11" s="580" customFormat="1" ht="15.75">
      <c r="B912" s="1136" t="s">
        <v>1202</v>
      </c>
      <c r="C912" s="1137"/>
      <c r="D912" s="1138"/>
      <c r="E912" s="721" t="s">
        <v>1203</v>
      </c>
      <c r="F912" s="721" t="s">
        <v>1204</v>
      </c>
      <c r="G912" s="731"/>
      <c r="H912" s="731"/>
      <c r="I912" s="731"/>
      <c r="J912" s="731"/>
      <c r="K912" s="731"/>
    </row>
    <row r="913" spans="2:11" s="580" customFormat="1" ht="15.75">
      <c r="B913" s="1139" t="s">
        <v>1205</v>
      </c>
      <c r="C913" s="1140"/>
      <c r="D913" s="1141"/>
      <c r="E913" s="1181">
        <v>128.33000000000001</v>
      </c>
      <c r="F913" s="732">
        <f>K905</f>
        <v>37.519999999999996</v>
      </c>
      <c r="G913" s="731"/>
      <c r="H913" s="731"/>
      <c r="I913" s="731"/>
      <c r="J913" s="731"/>
      <c r="K913" s="731"/>
    </row>
    <row r="914" spans="2:11" s="580" customFormat="1" ht="15.75">
      <c r="B914" s="1139" t="s">
        <v>1206</v>
      </c>
      <c r="C914" s="1140"/>
      <c r="D914" s="1141"/>
      <c r="E914" s="1182"/>
      <c r="F914" s="732">
        <f>K909</f>
        <v>43.9</v>
      </c>
      <c r="G914" s="731"/>
      <c r="H914" s="731"/>
      <c r="I914" s="731"/>
      <c r="J914" s="731"/>
      <c r="K914" s="731"/>
    </row>
    <row r="915" spans="2:11" s="580" customFormat="1" ht="15.75">
      <c r="B915" s="1139" t="s">
        <v>1207</v>
      </c>
      <c r="C915" s="1140"/>
      <c r="D915" s="1141"/>
      <c r="E915" s="1182"/>
      <c r="F915" s="732">
        <v>0.04</v>
      </c>
      <c r="G915" s="731"/>
      <c r="H915" s="731"/>
      <c r="I915" s="731"/>
      <c r="J915" s="731"/>
      <c r="K915" s="731"/>
    </row>
    <row r="916" spans="2:11" s="580" customFormat="1" ht="15.75">
      <c r="B916" s="1139" t="s">
        <v>1208</v>
      </c>
      <c r="C916" s="1140"/>
      <c r="D916" s="1141"/>
      <c r="E916" s="1182"/>
      <c r="F916" s="732">
        <v>1</v>
      </c>
      <c r="G916" s="731"/>
      <c r="H916" s="731"/>
      <c r="I916" s="731"/>
      <c r="J916" s="731"/>
      <c r="K916" s="731"/>
    </row>
    <row r="917" spans="2:11" s="580" customFormat="1" ht="15.75">
      <c r="B917" s="1139" t="s">
        <v>1209</v>
      </c>
      <c r="C917" s="1140"/>
      <c r="D917" s="1141"/>
      <c r="E917" s="1182"/>
      <c r="F917" s="732">
        <f>F913+F915</f>
        <v>37.559999999999995</v>
      </c>
      <c r="G917" s="731"/>
      <c r="H917" s="731"/>
      <c r="I917" s="731"/>
      <c r="J917" s="731"/>
      <c r="K917" s="731"/>
    </row>
    <row r="918" spans="2:11" s="580" customFormat="1" ht="15.75">
      <c r="B918" s="1139" t="s">
        <v>1210</v>
      </c>
      <c r="C918" s="1140"/>
      <c r="D918" s="1141"/>
      <c r="E918" s="1182"/>
      <c r="F918" s="732">
        <f>((F913/F916)+(F915/F916))</f>
        <v>37.559999999999995</v>
      </c>
      <c r="G918" s="731"/>
      <c r="H918" s="731"/>
      <c r="I918" s="731"/>
      <c r="J918" s="731"/>
      <c r="K918" s="731"/>
    </row>
    <row r="919" spans="2:11" s="580" customFormat="1" ht="15.75">
      <c r="B919" s="1139" t="s">
        <v>1211</v>
      </c>
      <c r="C919" s="1140"/>
      <c r="D919" s="1141"/>
      <c r="E919" s="1183"/>
      <c r="F919" s="732">
        <f>F914+F918</f>
        <v>81.459999999999994</v>
      </c>
      <c r="G919" s="731"/>
      <c r="H919" s="731"/>
      <c r="I919" s="731"/>
      <c r="J919" s="731"/>
      <c r="K919" s="731"/>
    </row>
    <row r="920" spans="2:11" s="580" customFormat="1" ht="15.75">
      <c r="B920" s="1139" t="s">
        <v>1212</v>
      </c>
      <c r="C920" s="1140"/>
      <c r="D920" s="1141"/>
      <c r="E920" s="1181">
        <v>0</v>
      </c>
      <c r="F920" s="732">
        <f>F919*(E920/100)</f>
        <v>0</v>
      </c>
      <c r="G920" s="731"/>
      <c r="H920" s="731"/>
      <c r="I920" s="731"/>
      <c r="J920" s="731"/>
      <c r="K920" s="731"/>
    </row>
    <row r="921" spans="2:11" s="580" customFormat="1" ht="15.75">
      <c r="B921" s="1142" t="s">
        <v>1213</v>
      </c>
      <c r="C921" s="1143"/>
      <c r="D921" s="1144"/>
      <c r="E921" s="1183"/>
      <c r="F921" s="733">
        <f>F919+F920</f>
        <v>81.459999999999994</v>
      </c>
      <c r="G921" s="731"/>
      <c r="H921" s="731"/>
      <c r="I921" s="731"/>
      <c r="J921" s="731"/>
      <c r="K921" s="731"/>
    </row>
    <row r="922" spans="2:11" s="577" customFormat="1"/>
    <row r="923" spans="2:11" s="577" customFormat="1"/>
    <row r="924" spans="2:11" s="577" customFormat="1"/>
    <row r="925" spans="2:11" s="577" customFormat="1"/>
    <row r="926" spans="2:11" s="580" customFormat="1" ht="15.75" customHeight="1">
      <c r="B926" s="1145" t="s">
        <v>1388</v>
      </c>
      <c r="C926" s="1145"/>
      <c r="D926" s="1145"/>
      <c r="E926" s="1145"/>
      <c r="F926" s="1145"/>
      <c r="I926" s="698" t="s">
        <v>1382</v>
      </c>
      <c r="J926" s="698"/>
    </row>
    <row r="927" spans="2:11" s="580" customFormat="1" ht="15.75">
      <c r="B927" s="1125" t="s">
        <v>1383</v>
      </c>
      <c r="C927" s="1125"/>
      <c r="D927" s="1125"/>
      <c r="E927" s="1125"/>
      <c r="F927" s="698"/>
      <c r="G927" s="698"/>
      <c r="H927" s="698"/>
      <c r="I927" s="698"/>
      <c r="J927" s="698"/>
      <c r="K927" s="698"/>
    </row>
    <row r="928" spans="2:11" s="580" customFormat="1" ht="15.75">
      <c r="B928" s="698"/>
      <c r="C928" s="698"/>
      <c r="D928" s="698"/>
      <c r="E928" s="698"/>
      <c r="F928" s="698"/>
      <c r="G928" s="698"/>
      <c r="H928" s="698"/>
      <c r="I928" s="698"/>
      <c r="J928" s="698"/>
      <c r="K928" s="698"/>
    </row>
    <row r="929" spans="2:11" s="580" customFormat="1" ht="15.75">
      <c r="B929" s="699" t="s">
        <v>1389</v>
      </c>
      <c r="C929" s="699"/>
      <c r="D929" s="700"/>
      <c r="E929" s="700"/>
      <c r="F929" s="700"/>
      <c r="G929" s="700"/>
      <c r="H929" s="700"/>
      <c r="I929" s="700"/>
      <c r="J929" s="700"/>
      <c r="K929" s="700"/>
    </row>
    <row r="930" spans="2:11" s="580" customFormat="1" ht="15.75">
      <c r="B930" s="700"/>
      <c r="C930" s="700"/>
      <c r="D930" s="700"/>
      <c r="E930" s="700"/>
      <c r="F930" s="700"/>
      <c r="G930" s="700"/>
      <c r="H930" s="700"/>
      <c r="I930" s="700"/>
      <c r="J930" s="700"/>
      <c r="K930" s="700"/>
    </row>
    <row r="931" spans="2:11" s="580" customFormat="1" ht="15.75">
      <c r="B931" s="701" t="s">
        <v>1176</v>
      </c>
      <c r="C931" s="1126" t="s">
        <v>1177</v>
      </c>
      <c r="D931" s="1126"/>
      <c r="E931" s="701" t="s">
        <v>1178</v>
      </c>
      <c r="F931" s="701" t="s">
        <v>1186</v>
      </c>
      <c r="G931" s="702"/>
      <c r="H931" s="700"/>
      <c r="I931" s="700"/>
      <c r="J931" s="700"/>
      <c r="K931" s="700"/>
    </row>
    <row r="932" spans="2:11" s="580" customFormat="1" ht="15.75">
      <c r="B932" s="618" t="s">
        <v>1357</v>
      </c>
      <c r="C932" s="1127" t="s">
        <v>1265</v>
      </c>
      <c r="D932" s="1127"/>
      <c r="E932" s="710" t="s">
        <v>691</v>
      </c>
      <c r="F932" s="711">
        <v>225</v>
      </c>
      <c r="G932" s="712"/>
      <c r="H932" s="700"/>
      <c r="I932" s="700"/>
      <c r="J932" s="700"/>
      <c r="K932" s="700"/>
    </row>
    <row r="933" spans="2:11" s="580" customFormat="1" ht="28.5">
      <c r="B933" s="636" t="s">
        <v>1358</v>
      </c>
      <c r="C933" s="1127" t="s">
        <v>1267</v>
      </c>
      <c r="D933" s="1127"/>
      <c r="E933" s="710" t="s">
        <v>691</v>
      </c>
      <c r="F933" s="711">
        <v>218</v>
      </c>
      <c r="G933" s="712"/>
      <c r="H933" s="700"/>
      <c r="I933" s="700"/>
      <c r="J933" s="700"/>
      <c r="K933" s="700"/>
    </row>
    <row r="934" spans="2:11" s="580" customFormat="1" ht="28.5">
      <c r="B934" s="636" t="s">
        <v>1359</v>
      </c>
      <c r="C934" s="1127" t="s">
        <v>1269</v>
      </c>
      <c r="D934" s="1127"/>
      <c r="E934" s="710" t="s">
        <v>691</v>
      </c>
      <c r="F934" s="711">
        <v>211.21</v>
      </c>
      <c r="G934" s="712"/>
      <c r="H934" s="700"/>
      <c r="I934" s="700"/>
      <c r="J934" s="700"/>
      <c r="K934" s="700"/>
    </row>
    <row r="935" spans="2:11" s="580" customFormat="1" ht="15.75">
      <c r="B935" s="713"/>
      <c r="C935" s="714"/>
      <c r="D935" s="714"/>
      <c r="E935" s="715"/>
      <c r="F935" s="716"/>
      <c r="G935" s="717"/>
      <c r="H935" s="700"/>
      <c r="I935" s="700"/>
      <c r="J935" s="700"/>
      <c r="K935" s="700"/>
    </row>
    <row r="936" spans="2:11" s="580" customFormat="1" ht="15.75">
      <c r="B936" s="1128"/>
      <c r="C936" s="1128"/>
      <c r="D936" s="1128"/>
      <c r="E936" s="1128"/>
      <c r="F936" s="1128"/>
      <c r="G936" s="1128"/>
      <c r="H936" s="1128"/>
      <c r="I936" s="1128"/>
      <c r="J936" s="1128"/>
      <c r="K936" s="1128"/>
    </row>
    <row r="937" spans="2:11" s="580" customFormat="1" ht="31.5">
      <c r="B937" s="718" t="s">
        <v>1187</v>
      </c>
      <c r="C937" s="719" t="s">
        <v>1178</v>
      </c>
      <c r="D937" s="720" t="s">
        <v>1188</v>
      </c>
      <c r="E937" s="721" t="s">
        <v>1189</v>
      </c>
      <c r="F937" s="721" t="s">
        <v>1190</v>
      </c>
      <c r="G937" s="721" t="s">
        <v>1191</v>
      </c>
      <c r="H937" s="721" t="s">
        <v>1192</v>
      </c>
      <c r="I937" s="721" t="s">
        <v>1179</v>
      </c>
      <c r="J937" s="721" t="s">
        <v>1193</v>
      </c>
      <c r="K937" s="721" t="s">
        <v>1220</v>
      </c>
    </row>
    <row r="938" spans="2:11" s="580" customFormat="1" ht="15.75">
      <c r="B938" s="722" t="s">
        <v>1384</v>
      </c>
      <c r="C938" s="723" t="s">
        <v>1195</v>
      </c>
      <c r="D938" s="724">
        <v>10101</v>
      </c>
      <c r="E938" s="725">
        <v>1</v>
      </c>
      <c r="F938" s="726">
        <v>1</v>
      </c>
      <c r="G938" s="726"/>
      <c r="H938" s="726">
        <v>0</v>
      </c>
      <c r="I938" s="726">
        <v>14.98</v>
      </c>
      <c r="J938" s="726" t="s">
        <v>1223</v>
      </c>
      <c r="K938" s="734">
        <f>E938*I938</f>
        <v>14.98</v>
      </c>
    </row>
    <row r="939" spans="2:11" s="580" customFormat="1" ht="15.75">
      <c r="B939" s="722" t="s">
        <v>1385</v>
      </c>
      <c r="C939" s="723" t="s">
        <v>1195</v>
      </c>
      <c r="D939" s="724">
        <v>10115</v>
      </c>
      <c r="E939" s="725">
        <v>1</v>
      </c>
      <c r="F939" s="726">
        <v>1</v>
      </c>
      <c r="G939" s="726"/>
      <c r="H939" s="726">
        <v>0</v>
      </c>
      <c r="I939" s="726">
        <v>22.54</v>
      </c>
      <c r="J939" s="726" t="s">
        <v>1223</v>
      </c>
      <c r="K939" s="734">
        <f>E939*I939</f>
        <v>22.54</v>
      </c>
    </row>
    <row r="940" spans="2:11" s="580" customFormat="1" ht="15.75">
      <c r="B940" s="1129" t="s">
        <v>1196</v>
      </c>
      <c r="C940" s="1130"/>
      <c r="D940" s="1131"/>
      <c r="E940" s="1130"/>
      <c r="F940" s="1130"/>
      <c r="G940" s="1130"/>
      <c r="H940" s="1130"/>
      <c r="I940" s="1130"/>
      <c r="J940" s="1132"/>
      <c r="K940" s="733">
        <f>K938+K939</f>
        <v>37.519999999999996</v>
      </c>
    </row>
    <row r="941" spans="2:11" s="580" customFormat="1" ht="15.75">
      <c r="B941" s="1133"/>
      <c r="C941" s="1133"/>
      <c r="D941" s="1133"/>
      <c r="E941" s="1133"/>
      <c r="F941" s="1133"/>
      <c r="G941" s="1133"/>
      <c r="H941" s="1133"/>
      <c r="I941" s="1133"/>
      <c r="J941" s="1133"/>
      <c r="K941" s="1133"/>
    </row>
    <row r="942" spans="2:11" s="580" customFormat="1" ht="31.5">
      <c r="B942" s="718" t="s">
        <v>1197</v>
      </c>
      <c r="C942" s="719" t="s">
        <v>1178</v>
      </c>
      <c r="D942" s="719" t="s">
        <v>1188</v>
      </c>
      <c r="E942" s="721" t="s">
        <v>1189</v>
      </c>
      <c r="F942" s="721" t="s">
        <v>1190</v>
      </c>
      <c r="G942" s="721" t="s">
        <v>1191</v>
      </c>
      <c r="H942" s="721" t="s">
        <v>1192</v>
      </c>
      <c r="I942" s="721" t="s">
        <v>1179</v>
      </c>
      <c r="J942" s="721" t="s">
        <v>1193</v>
      </c>
      <c r="K942" s="721" t="s">
        <v>1220</v>
      </c>
    </row>
    <row r="943" spans="2:11" s="580" customFormat="1" ht="30">
      <c r="B943" s="727" t="s">
        <v>1390</v>
      </c>
      <c r="C943" s="728" t="s">
        <v>691</v>
      </c>
      <c r="D943" s="729" t="s">
        <v>1387</v>
      </c>
      <c r="E943" s="730">
        <v>1</v>
      </c>
      <c r="F943" s="730"/>
      <c r="G943" s="730"/>
      <c r="H943" s="730"/>
      <c r="I943" s="735">
        <f>SMALL(F931:F933,1)</f>
        <v>218</v>
      </c>
      <c r="J943" s="730" t="s">
        <v>1223</v>
      </c>
      <c r="K943" s="736">
        <f>E943*I943</f>
        <v>218</v>
      </c>
    </row>
    <row r="944" spans="2:11" s="580" customFormat="1" ht="15.75">
      <c r="B944" s="1134" t="s">
        <v>1196</v>
      </c>
      <c r="C944" s="1134"/>
      <c r="D944" s="1134"/>
      <c r="E944" s="1134"/>
      <c r="F944" s="1134"/>
      <c r="G944" s="1134"/>
      <c r="H944" s="1134"/>
      <c r="I944" s="1134"/>
      <c r="J944" s="1134"/>
      <c r="K944" s="737">
        <f>SUM(K943:K943)</f>
        <v>218</v>
      </c>
    </row>
    <row r="945" spans="2:11" s="580" customFormat="1" ht="15.75">
      <c r="B945" s="1135"/>
      <c r="C945" s="1135"/>
      <c r="D945" s="1135"/>
      <c r="E945" s="1135"/>
      <c r="F945" s="1135"/>
      <c r="G945" s="1135"/>
      <c r="H945" s="1135"/>
      <c r="I945" s="1135"/>
      <c r="J945" s="1135"/>
      <c r="K945" s="1135"/>
    </row>
    <row r="946" spans="2:11" s="580" customFormat="1" ht="15.75">
      <c r="B946" s="1125" t="s">
        <v>1201</v>
      </c>
      <c r="C946" s="1125"/>
      <c r="D946" s="1125"/>
      <c r="E946" s="1125"/>
      <c r="F946" s="1125"/>
      <c r="G946" s="731"/>
      <c r="H946" s="731"/>
      <c r="I946" s="731"/>
      <c r="J946" s="731"/>
      <c r="K946" s="731"/>
    </row>
    <row r="947" spans="2:11" s="580" customFormat="1" ht="15.75">
      <c r="B947" s="1136" t="s">
        <v>1202</v>
      </c>
      <c r="C947" s="1137"/>
      <c r="D947" s="1138"/>
      <c r="E947" s="721" t="s">
        <v>1203</v>
      </c>
      <c r="F947" s="721" t="s">
        <v>1204</v>
      </c>
      <c r="G947" s="731"/>
      <c r="H947" s="731"/>
      <c r="I947" s="731"/>
      <c r="J947" s="731"/>
      <c r="K947" s="731"/>
    </row>
    <row r="948" spans="2:11" s="580" customFormat="1" ht="15.75">
      <c r="B948" s="1139" t="s">
        <v>1205</v>
      </c>
      <c r="C948" s="1140"/>
      <c r="D948" s="1141"/>
      <c r="E948" s="1181">
        <v>128.33000000000001</v>
      </c>
      <c r="F948" s="732">
        <f>K940</f>
        <v>37.519999999999996</v>
      </c>
      <c r="G948" s="731"/>
      <c r="H948" s="731"/>
      <c r="I948" s="731"/>
      <c r="J948" s="731"/>
      <c r="K948" s="731"/>
    </row>
    <row r="949" spans="2:11" s="580" customFormat="1" ht="15.75">
      <c r="B949" s="1139" t="s">
        <v>1206</v>
      </c>
      <c r="C949" s="1140"/>
      <c r="D949" s="1141"/>
      <c r="E949" s="1182"/>
      <c r="F949" s="732">
        <f>K944</f>
        <v>218</v>
      </c>
      <c r="G949" s="731"/>
      <c r="H949" s="731"/>
      <c r="I949" s="731"/>
      <c r="J949" s="731"/>
      <c r="K949" s="731"/>
    </row>
    <row r="950" spans="2:11" s="580" customFormat="1" ht="15.75">
      <c r="B950" s="1139" t="s">
        <v>1207</v>
      </c>
      <c r="C950" s="1140"/>
      <c r="D950" s="1141"/>
      <c r="E950" s="1182"/>
      <c r="F950" s="732">
        <v>0.04</v>
      </c>
      <c r="G950" s="731"/>
      <c r="H950" s="731"/>
      <c r="I950" s="731"/>
      <c r="J950" s="731"/>
      <c r="K950" s="731"/>
    </row>
    <row r="951" spans="2:11" s="580" customFormat="1" ht="15.75">
      <c r="B951" s="1139" t="s">
        <v>1208</v>
      </c>
      <c r="C951" s="1140"/>
      <c r="D951" s="1141"/>
      <c r="E951" s="1182"/>
      <c r="F951" s="732">
        <v>1</v>
      </c>
      <c r="G951" s="731"/>
      <c r="H951" s="731"/>
      <c r="I951" s="731"/>
      <c r="J951" s="731"/>
      <c r="K951" s="731"/>
    </row>
    <row r="952" spans="2:11" s="580" customFormat="1" ht="15.75">
      <c r="B952" s="1139" t="s">
        <v>1209</v>
      </c>
      <c r="C952" s="1140"/>
      <c r="D952" s="1141"/>
      <c r="E952" s="1182"/>
      <c r="F952" s="732">
        <f>F948+F950</f>
        <v>37.559999999999995</v>
      </c>
      <c r="G952" s="731"/>
      <c r="H952" s="731"/>
      <c r="I952" s="731"/>
      <c r="J952" s="731"/>
      <c r="K952" s="731"/>
    </row>
    <row r="953" spans="2:11" s="580" customFormat="1" ht="15.75">
      <c r="B953" s="1139" t="s">
        <v>1210</v>
      </c>
      <c r="C953" s="1140"/>
      <c r="D953" s="1141"/>
      <c r="E953" s="1182"/>
      <c r="F953" s="732">
        <f>((F948/F951)+(F950/F951))</f>
        <v>37.559999999999995</v>
      </c>
      <c r="G953" s="731"/>
      <c r="H953" s="731"/>
      <c r="I953" s="731"/>
      <c r="J953" s="731"/>
      <c r="K953" s="731"/>
    </row>
    <row r="954" spans="2:11" s="580" customFormat="1" ht="15.75">
      <c r="B954" s="1139" t="s">
        <v>1211</v>
      </c>
      <c r="C954" s="1140"/>
      <c r="D954" s="1141"/>
      <c r="E954" s="1183"/>
      <c r="F954" s="732">
        <f>F949+F953</f>
        <v>255.56</v>
      </c>
      <c r="G954" s="731"/>
      <c r="H954" s="731"/>
      <c r="I954" s="731"/>
      <c r="J954" s="731"/>
      <c r="K954" s="731"/>
    </row>
    <row r="955" spans="2:11" s="580" customFormat="1" ht="15.75">
      <c r="B955" s="1139" t="s">
        <v>1212</v>
      </c>
      <c r="C955" s="1140"/>
      <c r="D955" s="1141"/>
      <c r="E955" s="1181">
        <v>0</v>
      </c>
      <c r="F955" s="732">
        <f>F954*(E955/100)</f>
        <v>0</v>
      </c>
      <c r="G955" s="731"/>
      <c r="H955" s="731"/>
      <c r="I955" s="731"/>
      <c r="J955" s="731"/>
      <c r="K955" s="731"/>
    </row>
    <row r="956" spans="2:11" s="580" customFormat="1" ht="15.75">
      <c r="B956" s="1142" t="s">
        <v>1213</v>
      </c>
      <c r="C956" s="1143"/>
      <c r="D956" s="1144"/>
      <c r="E956" s="1183"/>
      <c r="F956" s="733">
        <f>F954+F955</f>
        <v>255.56</v>
      </c>
      <c r="G956" s="731"/>
      <c r="H956" s="731"/>
      <c r="I956" s="731"/>
      <c r="J956" s="731"/>
      <c r="K956" s="731"/>
    </row>
    <row r="960" spans="2:11" s="577" customFormat="1">
      <c r="B960" s="578" t="s">
        <v>1391</v>
      </c>
      <c r="C960" s="582"/>
      <c r="D960" s="582"/>
      <c r="E960" s="582"/>
      <c r="F960" s="582"/>
      <c r="G960" s="582"/>
      <c r="H960" s="578" t="s">
        <v>1261</v>
      </c>
      <c r="I960" s="582"/>
      <c r="J960" s="582"/>
    </row>
    <row r="961" spans="2:10" s="577" customFormat="1">
      <c r="B961" s="582" t="s">
        <v>1262</v>
      </c>
      <c r="C961" s="582"/>
      <c r="D961" s="582"/>
      <c r="E961" s="582"/>
      <c r="F961" s="582"/>
      <c r="G961" s="582"/>
      <c r="H961" s="642"/>
      <c r="I961" s="582"/>
      <c r="J961" s="582"/>
    </row>
    <row r="962" spans="2:10" s="577" customFormat="1">
      <c r="B962" s="583" t="s">
        <v>1175</v>
      </c>
      <c r="C962" s="583"/>
      <c r="D962" s="584"/>
      <c r="E962" s="584"/>
      <c r="F962" s="584"/>
      <c r="G962" s="582"/>
      <c r="H962" s="582"/>
      <c r="I962" s="607"/>
      <c r="J962" s="582"/>
    </row>
    <row r="963" spans="2:10" s="577" customFormat="1">
      <c r="B963" s="584"/>
      <c r="C963" s="584"/>
      <c r="D963" s="584"/>
      <c r="E963" s="584"/>
      <c r="F963" s="584"/>
      <c r="G963" s="582"/>
      <c r="H963" s="582"/>
      <c r="I963" s="647"/>
      <c r="J963" s="648"/>
    </row>
    <row r="964" spans="2:10" s="577" customFormat="1" ht="30">
      <c r="B964" s="585" t="s">
        <v>1176</v>
      </c>
      <c r="C964" s="1075" t="s">
        <v>1177</v>
      </c>
      <c r="D964" s="1075"/>
      <c r="E964" s="585" t="s">
        <v>1178</v>
      </c>
      <c r="F964" s="585" t="s">
        <v>1392</v>
      </c>
      <c r="G964" s="608"/>
      <c r="H964" s="608"/>
      <c r="I964" s="608"/>
      <c r="J964" s="648"/>
    </row>
    <row r="965" spans="2:10" s="577" customFormat="1" ht="33.75" customHeight="1">
      <c r="B965" s="594" t="s">
        <v>1264</v>
      </c>
      <c r="C965" s="1078" t="s">
        <v>1265</v>
      </c>
      <c r="D965" s="1078"/>
      <c r="E965" s="588" t="s">
        <v>691</v>
      </c>
      <c r="F965" s="588">
        <v>35</v>
      </c>
      <c r="G965" s="644"/>
      <c r="H965" s="644"/>
      <c r="I965" s="649"/>
      <c r="J965" s="648"/>
    </row>
    <row r="966" spans="2:10" s="577" customFormat="1" ht="31.5" customHeight="1">
      <c r="B966" s="594" t="s">
        <v>1266</v>
      </c>
      <c r="C966" s="1078" t="s">
        <v>1267</v>
      </c>
      <c r="D966" s="1078"/>
      <c r="E966" s="588" t="s">
        <v>691</v>
      </c>
      <c r="F966" s="588">
        <v>39.9</v>
      </c>
      <c r="G966" s="644"/>
      <c r="H966" s="644"/>
      <c r="I966" s="649"/>
      <c r="J966" s="648"/>
    </row>
    <row r="967" spans="2:10" s="577" customFormat="1" ht="36.75" customHeight="1">
      <c r="B967" s="594" t="s">
        <v>1268</v>
      </c>
      <c r="C967" s="1078" t="s">
        <v>1269</v>
      </c>
      <c r="D967" s="1078"/>
      <c r="E967" s="588" t="s">
        <v>691</v>
      </c>
      <c r="F967" s="588">
        <v>36.9</v>
      </c>
      <c r="G967" s="644"/>
      <c r="H967" s="644"/>
      <c r="I967" s="649"/>
      <c r="J967" s="648"/>
    </row>
    <row r="968" spans="2:10" s="577" customFormat="1">
      <c r="B968" s="1101" t="s">
        <v>1186</v>
      </c>
      <c r="C968" s="1101"/>
      <c r="D968" s="1101"/>
      <c r="E968" s="1101"/>
      <c r="F968" s="590">
        <f>SMALL(F965:F967,1)</f>
        <v>35</v>
      </c>
      <c r="G968" s="645"/>
      <c r="H968" s="645"/>
      <c r="I968" s="608"/>
      <c r="J968" s="648"/>
    </row>
    <row r="969" spans="2:10" s="577" customFormat="1">
      <c r="B969" s="582"/>
      <c r="C969" s="582"/>
      <c r="D969" s="582"/>
      <c r="E969" s="582"/>
      <c r="F969" s="582"/>
      <c r="G969" s="582"/>
      <c r="H969" s="582"/>
      <c r="I969" s="582"/>
      <c r="J969" s="582"/>
    </row>
    <row r="970" spans="2:10" s="577" customFormat="1">
      <c r="B970" s="585" t="s">
        <v>1187</v>
      </c>
      <c r="C970" s="585" t="s">
        <v>1178</v>
      </c>
      <c r="D970" s="585" t="s">
        <v>1188</v>
      </c>
      <c r="E970" s="585" t="s">
        <v>1189</v>
      </c>
      <c r="F970" s="585" t="s">
        <v>1190</v>
      </c>
      <c r="G970" s="585" t="s">
        <v>1191</v>
      </c>
      <c r="H970" s="585" t="s">
        <v>1192</v>
      </c>
      <c r="I970" s="585" t="s">
        <v>1179</v>
      </c>
      <c r="J970" s="585" t="s">
        <v>1193</v>
      </c>
    </row>
    <row r="971" spans="2:10" s="577" customFormat="1">
      <c r="B971" s="591" t="s">
        <v>1270</v>
      </c>
      <c r="C971" s="591" t="s">
        <v>1195</v>
      </c>
      <c r="D971" s="592">
        <v>88248</v>
      </c>
      <c r="E971" s="591">
        <v>0.16</v>
      </c>
      <c r="F971" s="593"/>
      <c r="G971" s="593"/>
      <c r="H971" s="593"/>
      <c r="I971" s="593">
        <v>14.77</v>
      </c>
      <c r="J971" s="593">
        <f>E971*I971</f>
        <v>2.3632</v>
      </c>
    </row>
    <row r="972" spans="2:10" s="577" customFormat="1">
      <c r="B972" s="591" t="s">
        <v>1271</v>
      </c>
      <c r="C972" s="591" t="s">
        <v>1195</v>
      </c>
      <c r="D972" s="592">
        <v>88267</v>
      </c>
      <c r="E972" s="591">
        <v>0.16</v>
      </c>
      <c r="F972" s="593"/>
      <c r="G972" s="593"/>
      <c r="H972" s="593"/>
      <c r="I972" s="593">
        <v>18.8</v>
      </c>
      <c r="J972" s="593">
        <f>E972*I972</f>
        <v>3.008</v>
      </c>
    </row>
    <row r="973" spans="2:10" s="577" customFormat="1">
      <c r="B973" s="1087" t="s">
        <v>1196</v>
      </c>
      <c r="C973" s="1087"/>
      <c r="D973" s="1087"/>
      <c r="E973" s="1087"/>
      <c r="F973" s="1087"/>
      <c r="G973" s="1087"/>
      <c r="H973" s="1087"/>
      <c r="I973" s="1087"/>
      <c r="J973" s="599">
        <f>J971+J972</f>
        <v>5.3712</v>
      </c>
    </row>
    <row r="974" spans="2:10" s="577" customFormat="1">
      <c r="B974" s="606"/>
      <c r="C974" s="606"/>
      <c r="D974" s="606"/>
      <c r="E974" s="606"/>
      <c r="F974" s="606"/>
      <c r="G974" s="606"/>
      <c r="H974" s="606"/>
      <c r="I974" s="606"/>
      <c r="J974" s="606"/>
    </row>
    <row r="975" spans="2:10" s="577" customFormat="1">
      <c r="B975" s="585" t="s">
        <v>1197</v>
      </c>
      <c r="C975" s="585" t="s">
        <v>1178</v>
      </c>
      <c r="D975" s="585" t="s">
        <v>1188</v>
      </c>
      <c r="E975" s="585" t="s">
        <v>1189</v>
      </c>
      <c r="F975" s="585" t="s">
        <v>1190</v>
      </c>
      <c r="G975" s="585" t="s">
        <v>1191</v>
      </c>
      <c r="H975" s="585" t="s">
        <v>1192</v>
      </c>
      <c r="I975" s="585" t="s">
        <v>1179</v>
      </c>
      <c r="J975" s="585" t="s">
        <v>1193</v>
      </c>
    </row>
    <row r="976" spans="2:10" s="577" customFormat="1">
      <c r="B976" s="591" t="s">
        <v>1392</v>
      </c>
      <c r="C976" s="591" t="s">
        <v>1199</v>
      </c>
      <c r="D976" s="595" t="s">
        <v>1200</v>
      </c>
      <c r="E976" s="646">
        <v>1</v>
      </c>
      <c r="F976" s="593"/>
      <c r="G976" s="593"/>
      <c r="H976" s="593"/>
      <c r="I976" s="593">
        <v>35</v>
      </c>
      <c r="J976" s="593">
        <f>E976*I976</f>
        <v>35</v>
      </c>
    </row>
    <row r="977" spans="2:10" s="577" customFormat="1">
      <c r="B977" s="1087" t="s">
        <v>1196</v>
      </c>
      <c r="C977" s="1087"/>
      <c r="D977" s="1087"/>
      <c r="E977" s="1087"/>
      <c r="F977" s="1087"/>
      <c r="G977" s="1087"/>
      <c r="H977" s="1087"/>
      <c r="I977" s="1087"/>
      <c r="J977" s="599">
        <f>SUM(J976:J976)</f>
        <v>35</v>
      </c>
    </row>
    <row r="978" spans="2:10" s="577" customFormat="1">
      <c r="B978" s="582"/>
      <c r="C978" s="582"/>
      <c r="D978" s="582"/>
      <c r="E978" s="582"/>
      <c r="F978" s="582"/>
      <c r="G978" s="582"/>
      <c r="H978" s="582"/>
      <c r="I978" s="582"/>
      <c r="J978" s="582"/>
    </row>
    <row r="979" spans="2:10" s="577" customFormat="1">
      <c r="B979" s="1088" t="s">
        <v>1201</v>
      </c>
      <c r="C979" s="1088"/>
      <c r="D979" s="1088"/>
      <c r="E979" s="1088"/>
      <c r="F979" s="1088"/>
      <c r="G979" s="582"/>
      <c r="H979" s="582"/>
      <c r="I979" s="582"/>
      <c r="J979" s="582"/>
    </row>
    <row r="980" spans="2:10" s="577" customFormat="1">
      <c r="B980" s="1089" t="s">
        <v>1202</v>
      </c>
      <c r="C980" s="1090"/>
      <c r="D980" s="1091"/>
      <c r="E980" s="596" t="s">
        <v>1203</v>
      </c>
      <c r="F980" s="596" t="s">
        <v>1204</v>
      </c>
      <c r="G980" s="582"/>
      <c r="H980" s="582"/>
      <c r="I980" s="582"/>
      <c r="J980" s="582"/>
    </row>
    <row r="981" spans="2:10" s="577" customFormat="1">
      <c r="B981" s="1092" t="s">
        <v>1205</v>
      </c>
      <c r="C981" s="1093"/>
      <c r="D981" s="1094"/>
      <c r="E981" s="1172">
        <v>128.33000000000001</v>
      </c>
      <c r="F981" s="598">
        <f>J973</f>
        <v>5.3712</v>
      </c>
      <c r="G981" s="582"/>
      <c r="H981" s="582"/>
      <c r="I981" s="582"/>
      <c r="J981" s="582"/>
    </row>
    <row r="982" spans="2:10" s="577" customFormat="1">
      <c r="B982" s="1092" t="s">
        <v>1206</v>
      </c>
      <c r="C982" s="1093"/>
      <c r="D982" s="1094"/>
      <c r="E982" s="1173"/>
      <c r="F982" s="598">
        <f>J977</f>
        <v>35</v>
      </c>
      <c r="G982" s="582"/>
      <c r="H982" s="582"/>
      <c r="I982" s="582"/>
      <c r="J982" s="582"/>
    </row>
    <row r="983" spans="2:10" s="577" customFormat="1">
      <c r="B983" s="1092" t="s">
        <v>1207</v>
      </c>
      <c r="C983" s="1093"/>
      <c r="D983" s="1094"/>
      <c r="E983" s="1173"/>
      <c r="F983" s="598">
        <v>0</v>
      </c>
      <c r="G983" s="582"/>
      <c r="H983" s="582"/>
      <c r="I983" s="582"/>
      <c r="J983" s="582"/>
    </row>
    <row r="984" spans="2:10" s="577" customFormat="1">
      <c r="B984" s="1092" t="s">
        <v>1208</v>
      </c>
      <c r="C984" s="1093"/>
      <c r="D984" s="1094"/>
      <c r="E984" s="1173"/>
      <c r="F984" s="598">
        <v>1</v>
      </c>
      <c r="G984" s="582"/>
      <c r="H984" s="582"/>
      <c r="I984" s="582"/>
      <c r="J984" s="582"/>
    </row>
    <row r="985" spans="2:10" s="577" customFormat="1">
      <c r="B985" s="1092" t="s">
        <v>1209</v>
      </c>
      <c r="C985" s="1093"/>
      <c r="D985" s="1094"/>
      <c r="E985" s="1173"/>
      <c r="F985" s="598">
        <f>F981+F983</f>
        <v>5.3712</v>
      </c>
      <c r="G985" s="582"/>
      <c r="H985" s="582"/>
      <c r="I985" s="582"/>
      <c r="J985" s="582"/>
    </row>
    <row r="986" spans="2:10" s="577" customFormat="1">
      <c r="B986" s="1092" t="s">
        <v>1210</v>
      </c>
      <c r="C986" s="1093"/>
      <c r="D986" s="1094"/>
      <c r="E986" s="1173"/>
      <c r="F986" s="598">
        <f>(F981/F984)+(F983/F984)</f>
        <v>5.3712</v>
      </c>
      <c r="G986" s="582"/>
      <c r="H986" s="582"/>
      <c r="I986" s="582"/>
      <c r="J986" s="582"/>
    </row>
    <row r="987" spans="2:10" s="577" customFormat="1">
      <c r="B987" s="1092" t="s">
        <v>1211</v>
      </c>
      <c r="C987" s="1093"/>
      <c r="D987" s="1094"/>
      <c r="E987" s="1174"/>
      <c r="F987" s="598">
        <f>F982+F986</f>
        <v>40.371200000000002</v>
      </c>
      <c r="G987" s="582"/>
      <c r="H987" s="582"/>
      <c r="I987" s="582"/>
      <c r="J987" s="582"/>
    </row>
    <row r="988" spans="2:10" s="577" customFormat="1">
      <c r="B988" s="1092" t="s">
        <v>1212</v>
      </c>
      <c r="C988" s="1093"/>
      <c r="D988" s="1094"/>
      <c r="E988" s="1172">
        <v>0</v>
      </c>
      <c r="F988" s="598">
        <f>F987*(E988/100)</f>
        <v>0</v>
      </c>
      <c r="G988" s="582"/>
      <c r="H988" s="582"/>
      <c r="I988" s="582"/>
      <c r="J988" s="582"/>
    </row>
    <row r="989" spans="2:10" s="577" customFormat="1">
      <c r="B989" s="1095" t="s">
        <v>1213</v>
      </c>
      <c r="C989" s="1096"/>
      <c r="D989" s="1097"/>
      <c r="E989" s="1174"/>
      <c r="F989" s="600">
        <f>F987+F988</f>
        <v>40.371200000000002</v>
      </c>
      <c r="G989" s="582"/>
      <c r="H989" s="582"/>
      <c r="I989" s="582"/>
      <c r="J989" s="582"/>
    </row>
    <row r="993" spans="2:10" s="577" customFormat="1">
      <c r="B993" s="578" t="s">
        <v>1393</v>
      </c>
      <c r="C993" s="582"/>
      <c r="D993" s="582"/>
      <c r="E993" s="582"/>
      <c r="F993" s="582"/>
      <c r="G993" s="582"/>
      <c r="H993" s="578" t="s">
        <v>1261</v>
      </c>
      <c r="I993" s="582"/>
      <c r="J993" s="582"/>
    </row>
    <row r="994" spans="2:10" s="577" customFormat="1">
      <c r="B994" s="582" t="s">
        <v>1262</v>
      </c>
      <c r="C994" s="582"/>
      <c r="D994" s="582"/>
      <c r="E994" s="582"/>
      <c r="F994" s="582"/>
      <c r="G994" s="582"/>
      <c r="H994" s="642"/>
      <c r="I994" s="582"/>
      <c r="J994" s="582"/>
    </row>
    <row r="995" spans="2:10" s="577" customFormat="1">
      <c r="B995" s="583" t="s">
        <v>1175</v>
      </c>
      <c r="C995" s="583"/>
      <c r="D995" s="584"/>
      <c r="E995" s="584"/>
      <c r="F995" s="584"/>
      <c r="G995" s="582"/>
      <c r="H995" s="582"/>
      <c r="I995" s="607"/>
      <c r="J995" s="582"/>
    </row>
    <row r="996" spans="2:10" s="577" customFormat="1">
      <c r="B996" s="584"/>
      <c r="C996" s="584"/>
      <c r="D996" s="584"/>
      <c r="E996" s="584"/>
      <c r="F996" s="584"/>
      <c r="G996" s="582"/>
      <c r="H996" s="582"/>
      <c r="I996" s="647"/>
      <c r="J996" s="648"/>
    </row>
    <row r="997" spans="2:10" s="577" customFormat="1" ht="30">
      <c r="B997" s="585" t="s">
        <v>1176</v>
      </c>
      <c r="C997" s="1075" t="s">
        <v>1177</v>
      </c>
      <c r="D997" s="1075"/>
      <c r="E997" s="585" t="s">
        <v>1178</v>
      </c>
      <c r="F997" s="585" t="s">
        <v>1394</v>
      </c>
      <c r="G997" s="608"/>
      <c r="H997" s="608"/>
      <c r="I997" s="608"/>
      <c r="J997" s="648"/>
    </row>
    <row r="998" spans="2:10" s="577" customFormat="1" ht="29.25">
      <c r="B998" s="597" t="s">
        <v>1264</v>
      </c>
      <c r="C998" s="1102" t="s">
        <v>1265</v>
      </c>
      <c r="D998" s="1102"/>
      <c r="E998" s="591" t="s">
        <v>691</v>
      </c>
      <c r="F998" s="591">
        <v>59.12</v>
      </c>
      <c r="G998" s="738"/>
      <c r="H998" s="738"/>
      <c r="I998" s="649"/>
      <c r="J998" s="648"/>
    </row>
    <row r="999" spans="2:10" s="577" customFormat="1" ht="28.5">
      <c r="B999" s="594" t="s">
        <v>1266</v>
      </c>
      <c r="C999" s="1102" t="s">
        <v>1267</v>
      </c>
      <c r="D999" s="1102"/>
      <c r="E999" s="591" t="s">
        <v>691</v>
      </c>
      <c r="F999" s="591">
        <v>62</v>
      </c>
      <c r="G999" s="738"/>
      <c r="H999" s="738"/>
      <c r="I999" s="649"/>
      <c r="J999" s="648"/>
    </row>
    <row r="1000" spans="2:10" s="577" customFormat="1" ht="28.5">
      <c r="B1000" s="594" t="s">
        <v>1268</v>
      </c>
      <c r="C1000" s="1102" t="s">
        <v>1269</v>
      </c>
      <c r="D1000" s="1102"/>
      <c r="E1000" s="591" t="s">
        <v>691</v>
      </c>
      <c r="F1000" s="591">
        <v>57.86</v>
      </c>
      <c r="G1000" s="738"/>
      <c r="H1000" s="738"/>
      <c r="I1000" s="649"/>
      <c r="J1000" s="648"/>
    </row>
    <row r="1001" spans="2:10" s="577" customFormat="1">
      <c r="B1001" s="1101" t="s">
        <v>1186</v>
      </c>
      <c r="C1001" s="1101"/>
      <c r="D1001" s="1101"/>
      <c r="E1001" s="1101"/>
      <c r="F1001" s="590">
        <f>SMALL(F998:F1000,1)</f>
        <v>57.86</v>
      </c>
      <c r="G1001" s="739"/>
      <c r="H1001" s="739"/>
      <c r="I1001" s="608"/>
      <c r="J1001" s="648"/>
    </row>
    <row r="1002" spans="2:10" s="577" customFormat="1">
      <c r="B1002" s="582"/>
      <c r="C1002" s="582"/>
      <c r="D1002" s="582"/>
      <c r="E1002" s="582"/>
      <c r="F1002" s="582"/>
      <c r="G1002" s="582"/>
      <c r="H1002" s="582"/>
      <c r="I1002" s="582"/>
      <c r="J1002" s="582"/>
    </row>
    <row r="1003" spans="2:10" s="577" customFormat="1">
      <c r="B1003" s="585" t="s">
        <v>1187</v>
      </c>
      <c r="C1003" s="585" t="s">
        <v>1178</v>
      </c>
      <c r="D1003" s="585" t="s">
        <v>1188</v>
      </c>
      <c r="E1003" s="585" t="s">
        <v>1189</v>
      </c>
      <c r="F1003" s="585" t="s">
        <v>1190</v>
      </c>
      <c r="G1003" s="585" t="s">
        <v>1191</v>
      </c>
      <c r="H1003" s="585" t="s">
        <v>1192</v>
      </c>
      <c r="I1003" s="585" t="s">
        <v>1179</v>
      </c>
      <c r="J1003" s="585" t="s">
        <v>1193</v>
      </c>
    </row>
    <row r="1004" spans="2:10" s="577" customFormat="1">
      <c r="B1004" s="591" t="s">
        <v>1395</v>
      </c>
      <c r="C1004" s="591" t="s">
        <v>1195</v>
      </c>
      <c r="D1004" s="592">
        <v>10101</v>
      </c>
      <c r="E1004" s="591">
        <v>0.16</v>
      </c>
      <c r="F1004" s="593"/>
      <c r="G1004" s="593"/>
      <c r="H1004" s="593"/>
      <c r="I1004" s="593">
        <v>14.77</v>
      </c>
      <c r="J1004" s="593">
        <f>E1004*I1004</f>
        <v>2.3632</v>
      </c>
    </row>
    <row r="1005" spans="2:10" s="577" customFormat="1">
      <c r="B1005" s="591" t="s">
        <v>1275</v>
      </c>
      <c r="C1005" s="591" t="s">
        <v>1195</v>
      </c>
      <c r="D1005" s="592">
        <v>10118</v>
      </c>
      <c r="E1005" s="591">
        <v>0.16</v>
      </c>
      <c r="F1005" s="593"/>
      <c r="G1005" s="593"/>
      <c r="H1005" s="593"/>
      <c r="I1005" s="593">
        <v>18.8</v>
      </c>
      <c r="J1005" s="593">
        <f>E1005*I1005</f>
        <v>3.008</v>
      </c>
    </row>
    <row r="1006" spans="2:10" s="577" customFormat="1">
      <c r="B1006" s="1087" t="s">
        <v>1196</v>
      </c>
      <c r="C1006" s="1087"/>
      <c r="D1006" s="1087"/>
      <c r="E1006" s="1087"/>
      <c r="F1006" s="1087"/>
      <c r="G1006" s="1087"/>
      <c r="H1006" s="1087"/>
      <c r="I1006" s="1087"/>
      <c r="J1006" s="599">
        <f>J1004+J1005</f>
        <v>5.3712</v>
      </c>
    </row>
    <row r="1007" spans="2:10" s="577" customFormat="1">
      <c r="B1007" s="606"/>
      <c r="C1007" s="606"/>
      <c r="D1007" s="606"/>
      <c r="E1007" s="606"/>
      <c r="F1007" s="606"/>
      <c r="G1007" s="606"/>
      <c r="H1007" s="606"/>
      <c r="I1007" s="606"/>
      <c r="J1007" s="606"/>
    </row>
    <row r="1008" spans="2:10" s="577" customFormat="1">
      <c r="B1008" s="585" t="s">
        <v>1197</v>
      </c>
      <c r="C1008" s="585" t="s">
        <v>1178</v>
      </c>
      <c r="D1008" s="585" t="s">
        <v>1188</v>
      </c>
      <c r="E1008" s="585" t="s">
        <v>1189</v>
      </c>
      <c r="F1008" s="585" t="s">
        <v>1190</v>
      </c>
      <c r="G1008" s="585" t="s">
        <v>1191</v>
      </c>
      <c r="H1008" s="585" t="s">
        <v>1192</v>
      </c>
      <c r="I1008" s="585" t="s">
        <v>1179</v>
      </c>
      <c r="J1008" s="585" t="s">
        <v>1193</v>
      </c>
    </row>
    <row r="1009" spans="2:10" s="577" customFormat="1">
      <c r="B1009" s="591" t="s">
        <v>1394</v>
      </c>
      <c r="C1009" s="591" t="s">
        <v>1199</v>
      </c>
      <c r="D1009" s="595" t="s">
        <v>1200</v>
      </c>
      <c r="E1009" s="646">
        <v>1</v>
      </c>
      <c r="F1009" s="593"/>
      <c r="G1009" s="593"/>
      <c r="H1009" s="593"/>
      <c r="I1009" s="593">
        <f>F1001</f>
        <v>57.86</v>
      </c>
      <c r="J1009" s="593">
        <f>E1009*I1009</f>
        <v>57.86</v>
      </c>
    </row>
    <row r="1010" spans="2:10" s="577" customFormat="1">
      <c r="B1010" s="1087" t="s">
        <v>1196</v>
      </c>
      <c r="C1010" s="1087"/>
      <c r="D1010" s="1087"/>
      <c r="E1010" s="1087"/>
      <c r="F1010" s="1087"/>
      <c r="G1010" s="1087"/>
      <c r="H1010" s="1087"/>
      <c r="I1010" s="1087"/>
      <c r="J1010" s="599">
        <f>SUM(J1009:J1009)</f>
        <v>57.86</v>
      </c>
    </row>
    <row r="1011" spans="2:10" s="577" customFormat="1">
      <c r="B1011" s="582"/>
      <c r="C1011" s="582"/>
      <c r="D1011" s="582"/>
      <c r="E1011" s="582"/>
      <c r="F1011" s="582"/>
      <c r="G1011" s="582"/>
      <c r="H1011" s="582"/>
      <c r="I1011" s="582"/>
      <c r="J1011" s="582"/>
    </row>
    <row r="1012" spans="2:10" s="577" customFormat="1">
      <c r="B1012" s="1088" t="s">
        <v>1201</v>
      </c>
      <c r="C1012" s="1088"/>
      <c r="D1012" s="1088"/>
      <c r="E1012" s="1088"/>
      <c r="F1012" s="1088"/>
      <c r="G1012" s="582"/>
      <c r="H1012" s="582"/>
      <c r="I1012" s="582"/>
      <c r="J1012" s="582"/>
    </row>
    <row r="1013" spans="2:10" s="577" customFormat="1">
      <c r="B1013" s="1089" t="s">
        <v>1202</v>
      </c>
      <c r="C1013" s="1090"/>
      <c r="D1013" s="1091"/>
      <c r="E1013" s="596" t="s">
        <v>1203</v>
      </c>
      <c r="F1013" s="596" t="s">
        <v>1204</v>
      </c>
      <c r="G1013" s="582"/>
      <c r="H1013" s="582"/>
      <c r="I1013" s="582"/>
      <c r="J1013" s="582"/>
    </row>
    <row r="1014" spans="2:10" s="577" customFormat="1">
      <c r="B1014" s="1092" t="s">
        <v>1205</v>
      </c>
      <c r="C1014" s="1093"/>
      <c r="D1014" s="1094"/>
      <c r="E1014" s="1172">
        <v>128.33000000000001</v>
      </c>
      <c r="F1014" s="598">
        <f>J1006</f>
        <v>5.3712</v>
      </c>
      <c r="G1014" s="582"/>
      <c r="H1014" s="582"/>
      <c r="I1014" s="582"/>
      <c r="J1014" s="582"/>
    </row>
    <row r="1015" spans="2:10" s="577" customFormat="1">
      <c r="B1015" s="1092" t="s">
        <v>1206</v>
      </c>
      <c r="C1015" s="1093"/>
      <c r="D1015" s="1094"/>
      <c r="E1015" s="1173"/>
      <c r="F1015" s="598">
        <f>J1010</f>
        <v>57.86</v>
      </c>
      <c r="G1015" s="582"/>
      <c r="H1015" s="582"/>
      <c r="I1015" s="582"/>
      <c r="J1015" s="582"/>
    </row>
    <row r="1016" spans="2:10" s="577" customFormat="1">
      <c r="B1016" s="1092" t="s">
        <v>1207</v>
      </c>
      <c r="C1016" s="1093"/>
      <c r="D1016" s="1094"/>
      <c r="E1016" s="1173"/>
      <c r="F1016" s="598">
        <v>0</v>
      </c>
      <c r="G1016" s="582"/>
      <c r="H1016" s="582"/>
      <c r="I1016" s="582"/>
      <c r="J1016" s="582"/>
    </row>
    <row r="1017" spans="2:10" s="577" customFormat="1">
      <c r="B1017" s="1092" t="s">
        <v>1208</v>
      </c>
      <c r="C1017" s="1093"/>
      <c r="D1017" s="1094"/>
      <c r="E1017" s="1173"/>
      <c r="F1017" s="598">
        <v>1</v>
      </c>
      <c r="G1017" s="582"/>
      <c r="H1017" s="582"/>
      <c r="I1017" s="582"/>
      <c r="J1017" s="582"/>
    </row>
    <row r="1018" spans="2:10" s="577" customFormat="1">
      <c r="B1018" s="1092" t="s">
        <v>1209</v>
      </c>
      <c r="C1018" s="1093"/>
      <c r="D1018" s="1094"/>
      <c r="E1018" s="1173"/>
      <c r="F1018" s="598">
        <f>F1014+F1016</f>
        <v>5.3712</v>
      </c>
      <c r="G1018" s="582"/>
      <c r="H1018" s="582"/>
      <c r="I1018" s="582"/>
      <c r="J1018" s="582"/>
    </row>
    <row r="1019" spans="2:10" s="577" customFormat="1">
      <c r="B1019" s="1092" t="s">
        <v>1210</v>
      </c>
      <c r="C1019" s="1093"/>
      <c r="D1019" s="1094"/>
      <c r="E1019" s="1173"/>
      <c r="F1019" s="598">
        <f>(F1014/F1017)+(F1016/F1017)</f>
        <v>5.3712</v>
      </c>
      <c r="G1019" s="582"/>
      <c r="H1019" s="582"/>
      <c r="I1019" s="582"/>
      <c r="J1019" s="582"/>
    </row>
    <row r="1020" spans="2:10" s="577" customFormat="1">
      <c r="B1020" s="1092" t="s">
        <v>1211</v>
      </c>
      <c r="C1020" s="1093"/>
      <c r="D1020" s="1094"/>
      <c r="E1020" s="1174"/>
      <c r="F1020" s="598">
        <f>F1015+F1019</f>
        <v>63.231200000000001</v>
      </c>
      <c r="G1020" s="582"/>
      <c r="H1020" s="582"/>
      <c r="I1020" s="582"/>
      <c r="J1020" s="582"/>
    </row>
    <row r="1021" spans="2:10" s="577" customFormat="1">
      <c r="B1021" s="1092" t="s">
        <v>1212</v>
      </c>
      <c r="C1021" s="1093"/>
      <c r="D1021" s="1094"/>
      <c r="E1021" s="1172">
        <v>0</v>
      </c>
      <c r="F1021" s="598">
        <f>F1020*(E1021/100)</f>
        <v>0</v>
      </c>
      <c r="G1021" s="582"/>
      <c r="H1021" s="582"/>
      <c r="I1021" s="582"/>
      <c r="J1021" s="582"/>
    </row>
    <row r="1022" spans="2:10" s="577" customFormat="1">
      <c r="B1022" s="1095" t="s">
        <v>1213</v>
      </c>
      <c r="C1022" s="1096"/>
      <c r="D1022" s="1097"/>
      <c r="E1022" s="1174"/>
      <c r="F1022" s="600">
        <f>F1020+F1021</f>
        <v>63.231200000000001</v>
      </c>
      <c r="G1022" s="582"/>
      <c r="H1022" s="582"/>
      <c r="I1022" s="582"/>
      <c r="J1022" s="582"/>
    </row>
    <row r="1026" spans="1:1025" ht="39" customHeight="1">
      <c r="A1026" s="740"/>
      <c r="B1026" s="1146" t="s">
        <v>1396</v>
      </c>
      <c r="C1026" s="1146"/>
      <c r="D1026" s="1146"/>
      <c r="E1026" s="1146"/>
      <c r="F1026" s="1146"/>
      <c r="G1026" s="1146"/>
      <c r="H1026" s="1146"/>
      <c r="I1026" s="1147" t="s">
        <v>1397</v>
      </c>
      <c r="J1026" s="1147"/>
      <c r="K1026" s="1147"/>
      <c r="L1026" s="740"/>
      <c r="M1026" s="740"/>
      <c r="N1026" s="740"/>
      <c r="O1026" s="740"/>
      <c r="P1026" s="740"/>
      <c r="Q1026" s="740"/>
      <c r="R1026" s="740"/>
      <c r="S1026" s="740"/>
      <c r="T1026" s="740"/>
      <c r="U1026" s="740"/>
      <c r="V1026" s="740"/>
      <c r="W1026" s="740"/>
      <c r="X1026" s="740"/>
      <c r="Y1026" s="740"/>
      <c r="Z1026" s="740"/>
      <c r="AA1026" s="740"/>
      <c r="AB1026" s="740"/>
      <c r="AC1026" s="740"/>
      <c r="AD1026" s="740"/>
      <c r="AE1026" s="740"/>
      <c r="AF1026" s="740"/>
      <c r="AG1026" s="740"/>
      <c r="AH1026" s="740"/>
      <c r="AI1026" s="740"/>
      <c r="AJ1026" s="740"/>
      <c r="AK1026" s="740"/>
      <c r="AL1026" s="740"/>
      <c r="AM1026" s="740"/>
      <c r="AN1026" s="740"/>
      <c r="AO1026" s="740"/>
      <c r="AP1026" s="740"/>
      <c r="AQ1026" s="740"/>
      <c r="AR1026" s="740"/>
      <c r="AS1026" s="740"/>
      <c r="AT1026" s="740"/>
      <c r="AU1026" s="740"/>
      <c r="AV1026" s="740"/>
      <c r="AW1026" s="740"/>
      <c r="AX1026" s="740"/>
      <c r="AY1026" s="740"/>
      <c r="AZ1026" s="740"/>
      <c r="BA1026" s="740"/>
      <c r="BB1026" s="740"/>
      <c r="BC1026" s="740"/>
      <c r="BD1026" s="740"/>
      <c r="BE1026" s="740"/>
      <c r="BF1026" s="740"/>
      <c r="BG1026" s="740"/>
      <c r="BH1026" s="740"/>
      <c r="BI1026" s="740"/>
      <c r="BJ1026" s="740"/>
      <c r="BK1026" s="740"/>
      <c r="BL1026" s="740"/>
      <c r="BM1026" s="740"/>
      <c r="BN1026" s="740"/>
      <c r="BO1026" s="740"/>
      <c r="BP1026" s="740"/>
      <c r="BQ1026" s="740"/>
      <c r="BR1026" s="740"/>
      <c r="BS1026" s="740"/>
      <c r="BT1026" s="740"/>
      <c r="BU1026" s="740"/>
      <c r="BV1026" s="740"/>
      <c r="BW1026" s="740"/>
      <c r="BX1026" s="740"/>
      <c r="BY1026" s="740"/>
      <c r="BZ1026" s="740"/>
      <c r="CA1026" s="740"/>
      <c r="CB1026" s="740"/>
      <c r="CC1026" s="740"/>
      <c r="CD1026" s="740"/>
      <c r="CE1026" s="740"/>
      <c r="CF1026" s="740"/>
      <c r="CG1026" s="740"/>
      <c r="CH1026" s="740"/>
      <c r="CI1026" s="740"/>
      <c r="CJ1026" s="740"/>
      <c r="CK1026" s="740"/>
      <c r="CL1026" s="740"/>
      <c r="CM1026" s="740"/>
      <c r="CN1026" s="740"/>
      <c r="CO1026" s="740"/>
      <c r="CP1026" s="740"/>
      <c r="CQ1026" s="740"/>
      <c r="CR1026" s="740"/>
      <c r="CS1026" s="740"/>
      <c r="CT1026" s="740"/>
      <c r="CU1026" s="740"/>
      <c r="CV1026" s="740"/>
      <c r="CW1026" s="740"/>
      <c r="CX1026" s="740"/>
      <c r="CY1026" s="740"/>
      <c r="CZ1026" s="740"/>
      <c r="DA1026" s="740"/>
      <c r="DB1026" s="740"/>
      <c r="DC1026" s="740"/>
      <c r="DD1026" s="740"/>
      <c r="DE1026" s="740"/>
      <c r="DF1026" s="740"/>
      <c r="DG1026" s="740"/>
      <c r="DH1026" s="740"/>
      <c r="DI1026" s="740"/>
      <c r="DJ1026" s="740"/>
      <c r="DK1026" s="740"/>
      <c r="DL1026" s="740"/>
      <c r="DM1026" s="740"/>
      <c r="DN1026" s="740"/>
      <c r="DO1026" s="740"/>
      <c r="DP1026" s="740"/>
      <c r="DQ1026" s="740"/>
      <c r="DR1026" s="740"/>
      <c r="DS1026" s="740"/>
      <c r="DT1026" s="740"/>
      <c r="DU1026" s="740"/>
      <c r="DV1026" s="740"/>
      <c r="DW1026" s="740"/>
      <c r="DX1026" s="740"/>
      <c r="DY1026" s="740"/>
      <c r="DZ1026" s="740"/>
      <c r="EA1026" s="740"/>
      <c r="EB1026" s="740"/>
      <c r="EC1026" s="740"/>
      <c r="ED1026" s="740"/>
      <c r="EE1026" s="740"/>
      <c r="EF1026" s="740"/>
      <c r="EG1026" s="740"/>
      <c r="EH1026" s="740"/>
      <c r="EI1026" s="740"/>
      <c r="EJ1026" s="740"/>
      <c r="EK1026" s="740"/>
      <c r="EL1026" s="740"/>
      <c r="EM1026" s="740"/>
      <c r="EN1026" s="740"/>
      <c r="EO1026" s="740"/>
      <c r="EP1026" s="740"/>
      <c r="EQ1026" s="740"/>
      <c r="ER1026" s="740"/>
      <c r="ES1026" s="740"/>
      <c r="ET1026" s="740"/>
      <c r="EU1026" s="740"/>
      <c r="EV1026" s="740"/>
      <c r="EW1026" s="740"/>
      <c r="EX1026" s="740"/>
      <c r="EY1026" s="740"/>
      <c r="EZ1026" s="740"/>
      <c r="FA1026" s="740"/>
      <c r="FB1026" s="740"/>
      <c r="FC1026" s="740"/>
      <c r="FD1026" s="740"/>
      <c r="FE1026" s="740"/>
      <c r="FF1026" s="740"/>
      <c r="FG1026" s="740"/>
      <c r="FH1026" s="740"/>
      <c r="FI1026" s="740"/>
      <c r="FJ1026" s="740"/>
      <c r="FK1026" s="740"/>
      <c r="FL1026" s="740"/>
      <c r="FM1026" s="740"/>
      <c r="FN1026" s="740"/>
      <c r="FO1026" s="740"/>
      <c r="FP1026" s="740"/>
      <c r="FQ1026" s="740"/>
      <c r="FR1026" s="740"/>
      <c r="FS1026" s="740"/>
      <c r="FT1026" s="740"/>
      <c r="FU1026" s="740"/>
      <c r="FV1026" s="740"/>
      <c r="FW1026" s="740"/>
      <c r="FX1026" s="740"/>
      <c r="FY1026" s="740"/>
      <c r="FZ1026" s="740"/>
      <c r="GA1026" s="740"/>
      <c r="GB1026" s="740"/>
      <c r="GC1026" s="740"/>
      <c r="GD1026" s="740"/>
      <c r="GE1026" s="740"/>
      <c r="GF1026" s="740"/>
      <c r="GG1026" s="740"/>
      <c r="GH1026" s="740"/>
      <c r="GI1026" s="740"/>
      <c r="GJ1026" s="740"/>
      <c r="GK1026" s="740"/>
      <c r="GL1026" s="740"/>
      <c r="GM1026" s="740"/>
      <c r="GN1026" s="740"/>
      <c r="GO1026" s="740"/>
      <c r="GP1026" s="740"/>
      <c r="GQ1026" s="740"/>
      <c r="GR1026" s="740"/>
      <c r="GS1026" s="740"/>
      <c r="GT1026" s="740"/>
      <c r="GU1026" s="740"/>
      <c r="GV1026" s="740"/>
      <c r="GW1026" s="740"/>
      <c r="GX1026" s="740"/>
      <c r="GY1026" s="740"/>
      <c r="GZ1026" s="740"/>
      <c r="HA1026" s="740"/>
      <c r="HB1026" s="740"/>
      <c r="HC1026" s="740"/>
      <c r="HD1026" s="740"/>
      <c r="HE1026" s="740"/>
      <c r="HF1026" s="740"/>
      <c r="HG1026" s="740"/>
      <c r="HH1026" s="740"/>
      <c r="HI1026" s="740"/>
      <c r="HJ1026" s="740"/>
      <c r="HK1026" s="740"/>
      <c r="HL1026" s="740"/>
      <c r="HM1026" s="740"/>
      <c r="HN1026" s="740"/>
      <c r="HO1026" s="740"/>
      <c r="HP1026" s="740"/>
      <c r="HQ1026" s="740"/>
      <c r="HR1026" s="740"/>
      <c r="HS1026" s="740"/>
      <c r="HT1026" s="740"/>
      <c r="HU1026" s="740"/>
      <c r="HV1026" s="740"/>
      <c r="HW1026" s="740"/>
      <c r="HX1026" s="740"/>
      <c r="HY1026" s="740"/>
      <c r="HZ1026" s="740"/>
      <c r="IA1026" s="740"/>
      <c r="IB1026" s="740"/>
      <c r="IC1026" s="740"/>
      <c r="ID1026" s="740"/>
      <c r="IE1026" s="740"/>
      <c r="IF1026" s="740"/>
      <c r="IG1026" s="740"/>
      <c r="IH1026" s="740"/>
      <c r="II1026" s="740"/>
      <c r="IJ1026" s="740"/>
      <c r="IK1026" s="740"/>
      <c r="IL1026" s="740"/>
      <c r="IM1026" s="740"/>
      <c r="IN1026" s="740"/>
      <c r="IO1026" s="740"/>
      <c r="IP1026" s="740"/>
      <c r="IQ1026" s="740"/>
      <c r="IR1026" s="740"/>
      <c r="IS1026" s="740"/>
      <c r="IT1026" s="740"/>
      <c r="IU1026" s="740"/>
      <c r="IV1026" s="740"/>
      <c r="IW1026" s="740"/>
      <c r="IX1026" s="740"/>
      <c r="IY1026" s="740"/>
      <c r="IZ1026" s="740"/>
      <c r="JA1026" s="740"/>
      <c r="JB1026" s="740"/>
      <c r="JC1026" s="740"/>
      <c r="JD1026" s="740"/>
      <c r="JE1026" s="740"/>
      <c r="JF1026" s="740"/>
      <c r="JG1026" s="740"/>
      <c r="JH1026" s="740"/>
      <c r="JI1026" s="740"/>
      <c r="JJ1026" s="740"/>
      <c r="JK1026" s="740"/>
      <c r="JL1026" s="740"/>
      <c r="JM1026" s="740"/>
      <c r="JN1026" s="740"/>
      <c r="JO1026" s="740"/>
      <c r="JP1026" s="740"/>
      <c r="JQ1026" s="740"/>
      <c r="JR1026" s="740"/>
      <c r="JS1026" s="740"/>
      <c r="JT1026" s="740"/>
      <c r="JU1026" s="740"/>
      <c r="JV1026" s="740"/>
      <c r="JW1026" s="740"/>
      <c r="JX1026" s="740"/>
      <c r="JY1026" s="740"/>
      <c r="JZ1026" s="740"/>
      <c r="KA1026" s="740"/>
      <c r="KB1026" s="740"/>
      <c r="KC1026" s="740"/>
      <c r="KD1026" s="740"/>
      <c r="KE1026" s="740"/>
      <c r="KF1026" s="740"/>
      <c r="KG1026" s="740"/>
      <c r="KH1026" s="740"/>
      <c r="KI1026" s="740"/>
      <c r="KJ1026" s="740"/>
      <c r="KK1026" s="740"/>
      <c r="KL1026" s="740"/>
      <c r="KM1026" s="740"/>
      <c r="KN1026" s="740"/>
      <c r="KO1026" s="740"/>
      <c r="KP1026" s="740"/>
      <c r="KQ1026" s="740"/>
      <c r="KR1026" s="740"/>
      <c r="KS1026" s="740"/>
      <c r="KT1026" s="740"/>
      <c r="KU1026" s="740"/>
      <c r="KV1026" s="740"/>
      <c r="KW1026" s="740"/>
      <c r="KX1026" s="740"/>
      <c r="KY1026" s="740"/>
      <c r="KZ1026" s="740"/>
      <c r="LA1026" s="740"/>
      <c r="LB1026" s="740"/>
      <c r="LC1026" s="740"/>
      <c r="LD1026" s="740"/>
      <c r="LE1026" s="740"/>
      <c r="LF1026" s="740"/>
      <c r="LG1026" s="740"/>
      <c r="LH1026" s="740"/>
      <c r="LI1026" s="740"/>
      <c r="LJ1026" s="740"/>
      <c r="LK1026" s="740"/>
      <c r="LL1026" s="740"/>
      <c r="LM1026" s="740"/>
      <c r="LN1026" s="740"/>
      <c r="LO1026" s="740"/>
      <c r="LP1026" s="740"/>
      <c r="LQ1026" s="740"/>
      <c r="LR1026" s="740"/>
      <c r="LS1026" s="740"/>
      <c r="LT1026" s="740"/>
      <c r="LU1026" s="740"/>
      <c r="LV1026" s="740"/>
      <c r="LW1026" s="740"/>
      <c r="LX1026" s="740"/>
      <c r="LY1026" s="740"/>
      <c r="LZ1026" s="740"/>
      <c r="MA1026" s="740"/>
      <c r="MB1026" s="740"/>
      <c r="MC1026" s="740"/>
      <c r="MD1026" s="740"/>
      <c r="ME1026" s="740"/>
      <c r="MF1026" s="740"/>
      <c r="MG1026" s="740"/>
      <c r="MH1026" s="740"/>
      <c r="MI1026" s="740"/>
      <c r="MJ1026" s="740"/>
      <c r="MK1026" s="740"/>
      <c r="ML1026" s="740"/>
      <c r="MM1026" s="740"/>
      <c r="MN1026" s="740"/>
      <c r="MO1026" s="740"/>
      <c r="MP1026" s="740"/>
      <c r="MQ1026" s="740"/>
      <c r="MR1026" s="740"/>
      <c r="MS1026" s="740"/>
      <c r="MT1026" s="740"/>
      <c r="MU1026" s="740"/>
      <c r="MV1026" s="740"/>
      <c r="MW1026" s="740"/>
      <c r="MX1026" s="740"/>
      <c r="MY1026" s="740"/>
      <c r="MZ1026" s="740"/>
      <c r="NA1026" s="740"/>
      <c r="NB1026" s="740"/>
      <c r="NC1026" s="740"/>
      <c r="ND1026" s="740"/>
      <c r="NE1026" s="740"/>
      <c r="NF1026" s="740"/>
      <c r="NG1026" s="740"/>
      <c r="NH1026" s="740"/>
      <c r="NI1026" s="740"/>
      <c r="NJ1026" s="740"/>
      <c r="NK1026" s="740"/>
      <c r="NL1026" s="740"/>
      <c r="NM1026" s="740"/>
      <c r="NN1026" s="740"/>
      <c r="NO1026" s="740"/>
      <c r="NP1026" s="740"/>
      <c r="NQ1026" s="740"/>
      <c r="NR1026" s="740"/>
      <c r="NS1026" s="740"/>
      <c r="NT1026" s="740"/>
      <c r="NU1026" s="740"/>
      <c r="NV1026" s="740"/>
      <c r="NW1026" s="740"/>
      <c r="NX1026" s="740"/>
      <c r="NY1026" s="740"/>
      <c r="NZ1026" s="740"/>
      <c r="OA1026" s="740"/>
      <c r="OB1026" s="740"/>
      <c r="OC1026" s="740"/>
      <c r="OD1026" s="740"/>
      <c r="OE1026" s="740"/>
      <c r="OF1026" s="740"/>
      <c r="OG1026" s="740"/>
      <c r="OH1026" s="740"/>
      <c r="OI1026" s="740"/>
      <c r="OJ1026" s="740"/>
      <c r="OK1026" s="740"/>
      <c r="OL1026" s="740"/>
      <c r="OM1026" s="740"/>
      <c r="ON1026" s="740"/>
      <c r="OO1026" s="740"/>
      <c r="OP1026" s="740"/>
      <c r="OQ1026" s="740"/>
      <c r="OR1026" s="740"/>
      <c r="OS1026" s="740"/>
      <c r="OT1026" s="740"/>
      <c r="OU1026" s="740"/>
      <c r="OV1026" s="740"/>
      <c r="OW1026" s="740"/>
      <c r="OX1026" s="740"/>
      <c r="OY1026" s="740"/>
      <c r="OZ1026" s="740"/>
      <c r="PA1026" s="740"/>
      <c r="PB1026" s="740"/>
      <c r="PC1026" s="740"/>
      <c r="PD1026" s="740"/>
      <c r="PE1026" s="740"/>
      <c r="PF1026" s="740"/>
      <c r="PG1026" s="740"/>
      <c r="PH1026" s="740"/>
      <c r="PI1026" s="740"/>
      <c r="PJ1026" s="740"/>
      <c r="PK1026" s="740"/>
      <c r="PL1026" s="740"/>
      <c r="PM1026" s="740"/>
      <c r="PN1026" s="740"/>
      <c r="PO1026" s="740"/>
      <c r="PP1026" s="740"/>
      <c r="PQ1026" s="740"/>
      <c r="PR1026" s="740"/>
      <c r="PS1026" s="740"/>
      <c r="PT1026" s="740"/>
      <c r="PU1026" s="740"/>
      <c r="PV1026" s="740"/>
      <c r="PW1026" s="740"/>
      <c r="PX1026" s="740"/>
      <c r="PY1026" s="740"/>
      <c r="PZ1026" s="740"/>
      <c r="QA1026" s="740"/>
      <c r="QB1026" s="740"/>
      <c r="QC1026" s="740"/>
      <c r="QD1026" s="740"/>
      <c r="QE1026" s="740"/>
      <c r="QF1026" s="740"/>
      <c r="QG1026" s="740"/>
      <c r="QH1026" s="740"/>
      <c r="QI1026" s="740"/>
      <c r="QJ1026" s="740"/>
      <c r="QK1026" s="740"/>
      <c r="QL1026" s="740"/>
      <c r="QM1026" s="740"/>
      <c r="QN1026" s="740"/>
      <c r="QO1026" s="740"/>
      <c r="QP1026" s="740"/>
      <c r="QQ1026" s="740"/>
      <c r="QR1026" s="740"/>
      <c r="QS1026" s="740"/>
      <c r="QT1026" s="740"/>
      <c r="QU1026" s="740"/>
      <c r="QV1026" s="740"/>
      <c r="QW1026" s="740"/>
      <c r="QX1026" s="740"/>
      <c r="QY1026" s="740"/>
      <c r="QZ1026" s="740"/>
      <c r="RA1026" s="740"/>
      <c r="RB1026" s="740"/>
      <c r="RC1026" s="740"/>
      <c r="RD1026" s="740"/>
      <c r="RE1026" s="740"/>
      <c r="RF1026" s="740"/>
      <c r="RG1026" s="740"/>
      <c r="RH1026" s="740"/>
      <c r="RI1026" s="740"/>
      <c r="RJ1026" s="740"/>
      <c r="RK1026" s="740"/>
      <c r="RL1026" s="740"/>
      <c r="RM1026" s="740"/>
      <c r="RN1026" s="740"/>
      <c r="RO1026" s="740"/>
      <c r="RP1026" s="740"/>
      <c r="RQ1026" s="740"/>
      <c r="RR1026" s="740"/>
      <c r="RS1026" s="740"/>
      <c r="RT1026" s="740"/>
      <c r="RU1026" s="740"/>
      <c r="RV1026" s="740"/>
      <c r="RW1026" s="740"/>
      <c r="RX1026" s="740"/>
      <c r="RY1026" s="740"/>
      <c r="RZ1026" s="740"/>
      <c r="SA1026" s="740"/>
      <c r="SB1026" s="740"/>
      <c r="SC1026" s="740"/>
      <c r="SD1026" s="740"/>
      <c r="SE1026" s="740"/>
      <c r="SF1026" s="740"/>
      <c r="SG1026" s="740"/>
      <c r="SH1026" s="740"/>
      <c r="SI1026" s="740"/>
      <c r="SJ1026" s="740"/>
      <c r="SK1026" s="740"/>
      <c r="SL1026" s="740"/>
      <c r="SM1026" s="740"/>
      <c r="SN1026" s="740"/>
      <c r="SO1026" s="740"/>
      <c r="SP1026" s="740"/>
      <c r="SQ1026" s="740"/>
      <c r="SR1026" s="740"/>
      <c r="SS1026" s="740"/>
      <c r="ST1026" s="740"/>
      <c r="SU1026" s="740"/>
      <c r="SV1026" s="740"/>
      <c r="SW1026" s="740"/>
      <c r="SX1026" s="740"/>
      <c r="SY1026" s="740"/>
      <c r="SZ1026" s="740"/>
      <c r="TA1026" s="740"/>
      <c r="TB1026" s="740"/>
      <c r="TC1026" s="740"/>
      <c r="TD1026" s="740"/>
      <c r="TE1026" s="740"/>
      <c r="TF1026" s="740"/>
      <c r="TG1026" s="740"/>
      <c r="TH1026" s="740"/>
      <c r="TI1026" s="740"/>
      <c r="TJ1026" s="740"/>
      <c r="TK1026" s="740"/>
      <c r="TL1026" s="740"/>
      <c r="TM1026" s="740"/>
      <c r="TN1026" s="740"/>
      <c r="TO1026" s="740"/>
      <c r="TP1026" s="740"/>
      <c r="TQ1026" s="740"/>
      <c r="TR1026" s="740"/>
      <c r="TS1026" s="740"/>
      <c r="TT1026" s="740"/>
      <c r="TU1026" s="740"/>
      <c r="TV1026" s="740"/>
      <c r="TW1026" s="740"/>
      <c r="TX1026" s="740"/>
      <c r="TY1026" s="740"/>
      <c r="TZ1026" s="740"/>
      <c r="UA1026" s="740"/>
      <c r="UB1026" s="740"/>
      <c r="UC1026" s="740"/>
      <c r="UD1026" s="740"/>
      <c r="UE1026" s="740"/>
      <c r="UF1026" s="740"/>
      <c r="UG1026" s="740"/>
      <c r="UH1026" s="740"/>
      <c r="UI1026" s="740"/>
      <c r="UJ1026" s="740"/>
      <c r="UK1026" s="740"/>
      <c r="UL1026" s="740"/>
      <c r="UM1026" s="740"/>
      <c r="UN1026" s="740"/>
      <c r="UO1026" s="740"/>
      <c r="UP1026" s="740"/>
      <c r="UQ1026" s="740"/>
      <c r="UR1026" s="740"/>
      <c r="US1026" s="740"/>
      <c r="UT1026" s="740"/>
      <c r="UU1026" s="740"/>
      <c r="UV1026" s="740"/>
      <c r="UW1026" s="740"/>
      <c r="UX1026" s="740"/>
      <c r="UY1026" s="740"/>
      <c r="UZ1026" s="740"/>
      <c r="VA1026" s="740"/>
      <c r="VB1026" s="740"/>
      <c r="VC1026" s="740"/>
      <c r="VD1026" s="740"/>
      <c r="VE1026" s="740"/>
      <c r="VF1026" s="740"/>
      <c r="VG1026" s="740"/>
      <c r="VH1026" s="740"/>
      <c r="VI1026" s="740"/>
      <c r="VJ1026" s="740"/>
      <c r="VK1026" s="740"/>
      <c r="VL1026" s="740"/>
      <c r="VM1026" s="740"/>
      <c r="VN1026" s="740"/>
      <c r="VO1026" s="740"/>
      <c r="VP1026" s="740"/>
      <c r="VQ1026" s="740"/>
      <c r="VR1026" s="740"/>
      <c r="VS1026" s="740"/>
      <c r="VT1026" s="740"/>
      <c r="VU1026" s="740"/>
      <c r="VV1026" s="740"/>
      <c r="VW1026" s="740"/>
      <c r="VX1026" s="740"/>
      <c r="VY1026" s="740"/>
      <c r="VZ1026" s="740"/>
      <c r="WA1026" s="740"/>
      <c r="WB1026" s="740"/>
      <c r="WC1026" s="740"/>
      <c r="WD1026" s="740"/>
      <c r="WE1026" s="740"/>
      <c r="WF1026" s="740"/>
      <c r="WG1026" s="740"/>
      <c r="WH1026" s="740"/>
      <c r="WI1026" s="740"/>
      <c r="WJ1026" s="740"/>
      <c r="WK1026" s="740"/>
      <c r="WL1026" s="740"/>
      <c r="WM1026" s="740"/>
      <c r="WN1026" s="740"/>
      <c r="WO1026" s="740"/>
      <c r="WP1026" s="740"/>
      <c r="WQ1026" s="740"/>
      <c r="WR1026" s="740"/>
      <c r="WS1026" s="740"/>
      <c r="WT1026" s="740"/>
      <c r="WU1026" s="740"/>
      <c r="WV1026" s="740"/>
      <c r="WW1026" s="740"/>
      <c r="WX1026" s="740"/>
      <c r="WY1026" s="740"/>
      <c r="WZ1026" s="740"/>
      <c r="XA1026" s="740"/>
      <c r="XB1026" s="740"/>
      <c r="XC1026" s="740"/>
      <c r="XD1026" s="740"/>
      <c r="XE1026" s="740"/>
      <c r="XF1026" s="740"/>
      <c r="XG1026" s="740"/>
      <c r="XH1026" s="740"/>
      <c r="XI1026" s="740"/>
      <c r="XJ1026" s="740"/>
      <c r="XK1026" s="740"/>
      <c r="XL1026" s="740"/>
      <c r="XM1026" s="740"/>
      <c r="XN1026" s="740"/>
      <c r="XO1026" s="740"/>
      <c r="XP1026" s="740"/>
      <c r="XQ1026" s="740"/>
      <c r="XR1026" s="740"/>
      <c r="XS1026" s="740"/>
      <c r="XT1026" s="740"/>
      <c r="XU1026" s="740"/>
      <c r="XV1026" s="740"/>
      <c r="XW1026" s="740"/>
      <c r="XX1026" s="740"/>
      <c r="XY1026" s="740"/>
      <c r="XZ1026" s="740"/>
      <c r="YA1026" s="740"/>
      <c r="YB1026" s="740"/>
      <c r="YC1026" s="740"/>
      <c r="YD1026" s="740"/>
      <c r="YE1026" s="740"/>
      <c r="YF1026" s="740"/>
      <c r="YG1026" s="740"/>
      <c r="YH1026" s="740"/>
      <c r="YI1026" s="740"/>
      <c r="YJ1026" s="740"/>
      <c r="YK1026" s="740"/>
      <c r="YL1026" s="740"/>
      <c r="YM1026" s="740"/>
      <c r="YN1026" s="740"/>
      <c r="YO1026" s="740"/>
      <c r="YP1026" s="740"/>
      <c r="YQ1026" s="740"/>
      <c r="YR1026" s="740"/>
      <c r="YS1026" s="740"/>
      <c r="YT1026" s="740"/>
      <c r="YU1026" s="740"/>
      <c r="YV1026" s="740"/>
      <c r="YW1026" s="740"/>
      <c r="YX1026" s="740"/>
      <c r="YY1026" s="740"/>
      <c r="YZ1026" s="740"/>
      <c r="ZA1026" s="740"/>
      <c r="ZB1026" s="740"/>
      <c r="ZC1026" s="740"/>
      <c r="ZD1026" s="740"/>
      <c r="ZE1026" s="740"/>
      <c r="ZF1026" s="740"/>
      <c r="ZG1026" s="740"/>
      <c r="ZH1026" s="740"/>
      <c r="ZI1026" s="740"/>
      <c r="ZJ1026" s="740"/>
      <c r="ZK1026" s="740"/>
      <c r="ZL1026" s="740"/>
      <c r="ZM1026" s="740"/>
      <c r="ZN1026" s="740"/>
      <c r="ZO1026" s="740"/>
      <c r="ZP1026" s="740"/>
      <c r="ZQ1026" s="740"/>
      <c r="ZR1026" s="740"/>
      <c r="ZS1026" s="740"/>
      <c r="ZT1026" s="740"/>
      <c r="ZU1026" s="740"/>
      <c r="ZV1026" s="740"/>
      <c r="ZW1026" s="740"/>
      <c r="ZX1026" s="740"/>
      <c r="ZY1026" s="740"/>
      <c r="ZZ1026" s="740"/>
      <c r="AAA1026" s="740"/>
      <c r="AAB1026" s="740"/>
      <c r="AAC1026" s="740"/>
      <c r="AAD1026" s="740"/>
      <c r="AAE1026" s="740"/>
      <c r="AAF1026" s="740"/>
      <c r="AAG1026" s="740"/>
      <c r="AAH1026" s="740"/>
      <c r="AAI1026" s="740"/>
      <c r="AAJ1026" s="740"/>
      <c r="AAK1026" s="740"/>
      <c r="AAL1026" s="740"/>
      <c r="AAM1026" s="740"/>
      <c r="AAN1026" s="740"/>
      <c r="AAO1026" s="740"/>
      <c r="AAP1026" s="740"/>
      <c r="AAQ1026" s="740"/>
      <c r="AAR1026" s="740"/>
      <c r="AAS1026" s="740"/>
      <c r="AAT1026" s="740"/>
      <c r="AAU1026" s="740"/>
      <c r="AAV1026" s="740"/>
      <c r="AAW1026" s="740"/>
      <c r="AAX1026" s="740"/>
      <c r="AAY1026" s="740"/>
      <c r="AAZ1026" s="740"/>
      <c r="ABA1026" s="740"/>
      <c r="ABB1026" s="740"/>
      <c r="ABC1026" s="740"/>
      <c r="ABD1026" s="740"/>
      <c r="ABE1026" s="740"/>
      <c r="ABF1026" s="740"/>
      <c r="ABG1026" s="740"/>
      <c r="ABH1026" s="740"/>
      <c r="ABI1026" s="740"/>
      <c r="ABJ1026" s="740"/>
      <c r="ABK1026" s="740"/>
      <c r="ABL1026" s="740"/>
      <c r="ABM1026" s="740"/>
      <c r="ABN1026" s="740"/>
      <c r="ABO1026" s="740"/>
      <c r="ABP1026" s="740"/>
      <c r="ABQ1026" s="740"/>
      <c r="ABR1026" s="740"/>
      <c r="ABS1026" s="740"/>
      <c r="ABT1026" s="740"/>
      <c r="ABU1026" s="740"/>
      <c r="ABV1026" s="740"/>
      <c r="ABW1026" s="740"/>
      <c r="ABX1026" s="740"/>
      <c r="ABY1026" s="740"/>
      <c r="ABZ1026" s="740"/>
      <c r="ACA1026" s="740"/>
      <c r="ACB1026" s="740"/>
      <c r="ACC1026" s="740"/>
      <c r="ACD1026" s="740"/>
      <c r="ACE1026" s="740"/>
      <c r="ACF1026" s="740"/>
      <c r="ACG1026" s="740"/>
      <c r="ACH1026" s="740"/>
      <c r="ACI1026" s="740"/>
      <c r="ACJ1026" s="740"/>
      <c r="ACK1026" s="740"/>
      <c r="ACL1026" s="740"/>
      <c r="ACM1026" s="740"/>
      <c r="ACN1026" s="740"/>
      <c r="ACO1026" s="740"/>
      <c r="ACP1026" s="740"/>
      <c r="ACQ1026" s="740"/>
      <c r="ACR1026" s="740"/>
      <c r="ACS1026" s="740"/>
      <c r="ACT1026" s="740"/>
      <c r="ACU1026" s="740"/>
      <c r="ACV1026" s="740"/>
      <c r="ACW1026" s="740"/>
      <c r="ACX1026" s="740"/>
      <c r="ACY1026" s="740"/>
      <c r="ACZ1026" s="740"/>
      <c r="ADA1026" s="740"/>
      <c r="ADB1026" s="740"/>
      <c r="ADC1026" s="740"/>
      <c r="ADD1026" s="740"/>
      <c r="ADE1026" s="740"/>
      <c r="ADF1026" s="740"/>
      <c r="ADG1026" s="740"/>
      <c r="ADH1026" s="740"/>
      <c r="ADI1026" s="740"/>
      <c r="ADJ1026" s="740"/>
      <c r="ADK1026" s="740"/>
      <c r="ADL1026" s="740"/>
      <c r="ADM1026" s="740"/>
      <c r="ADN1026" s="740"/>
      <c r="ADO1026" s="740"/>
      <c r="ADP1026" s="740"/>
      <c r="ADQ1026" s="740"/>
      <c r="ADR1026" s="740"/>
      <c r="ADS1026" s="740"/>
      <c r="ADT1026" s="740"/>
      <c r="ADU1026" s="740"/>
      <c r="ADV1026" s="740"/>
      <c r="ADW1026" s="740"/>
      <c r="ADX1026" s="740"/>
      <c r="ADY1026" s="740"/>
      <c r="ADZ1026" s="740"/>
      <c r="AEA1026" s="740"/>
      <c r="AEB1026" s="740"/>
      <c r="AEC1026" s="740"/>
      <c r="AED1026" s="740"/>
      <c r="AEE1026" s="740"/>
      <c r="AEF1026" s="740"/>
      <c r="AEG1026" s="740"/>
      <c r="AEH1026" s="740"/>
      <c r="AEI1026" s="740"/>
      <c r="AEJ1026" s="740"/>
      <c r="AEK1026" s="740"/>
      <c r="AEL1026" s="740"/>
      <c r="AEM1026" s="740"/>
      <c r="AEN1026" s="740"/>
      <c r="AEO1026" s="740"/>
      <c r="AEP1026" s="740"/>
      <c r="AEQ1026" s="740"/>
      <c r="AER1026" s="740"/>
      <c r="AES1026" s="740"/>
      <c r="AET1026" s="740"/>
      <c r="AEU1026" s="740"/>
      <c r="AEV1026" s="740"/>
      <c r="AEW1026" s="740"/>
      <c r="AEX1026" s="740"/>
      <c r="AEY1026" s="740"/>
      <c r="AEZ1026" s="740"/>
      <c r="AFA1026" s="740"/>
      <c r="AFB1026" s="740"/>
      <c r="AFC1026" s="740"/>
      <c r="AFD1026" s="740"/>
      <c r="AFE1026" s="740"/>
      <c r="AFF1026" s="740"/>
      <c r="AFG1026" s="740"/>
      <c r="AFH1026" s="740"/>
      <c r="AFI1026" s="740"/>
      <c r="AFJ1026" s="740"/>
      <c r="AFK1026" s="740"/>
      <c r="AFL1026" s="740"/>
      <c r="AFM1026" s="740"/>
      <c r="AFN1026" s="740"/>
      <c r="AFO1026" s="740"/>
      <c r="AFP1026" s="740"/>
      <c r="AFQ1026" s="740"/>
      <c r="AFR1026" s="740"/>
      <c r="AFS1026" s="740"/>
      <c r="AFT1026" s="740"/>
      <c r="AFU1026" s="740"/>
      <c r="AFV1026" s="740"/>
      <c r="AFW1026" s="740"/>
      <c r="AFX1026" s="740"/>
      <c r="AFY1026" s="740"/>
      <c r="AFZ1026" s="740"/>
      <c r="AGA1026" s="740"/>
      <c r="AGB1026" s="740"/>
      <c r="AGC1026" s="740"/>
      <c r="AGD1026" s="740"/>
      <c r="AGE1026" s="740"/>
      <c r="AGF1026" s="740"/>
      <c r="AGG1026" s="740"/>
      <c r="AGH1026" s="740"/>
      <c r="AGI1026" s="740"/>
      <c r="AGJ1026" s="740"/>
      <c r="AGK1026" s="740"/>
      <c r="AGL1026" s="740"/>
      <c r="AGM1026" s="740"/>
      <c r="AGN1026" s="740"/>
      <c r="AGO1026" s="740"/>
      <c r="AGP1026" s="740"/>
      <c r="AGQ1026" s="740"/>
      <c r="AGR1026" s="740"/>
      <c r="AGS1026" s="740"/>
      <c r="AGT1026" s="740"/>
      <c r="AGU1026" s="740"/>
      <c r="AGV1026" s="740"/>
      <c r="AGW1026" s="740"/>
      <c r="AGX1026" s="740"/>
      <c r="AGY1026" s="740"/>
      <c r="AGZ1026" s="740"/>
      <c r="AHA1026" s="740"/>
      <c r="AHB1026" s="740"/>
      <c r="AHC1026" s="740"/>
      <c r="AHD1026" s="740"/>
      <c r="AHE1026" s="740"/>
      <c r="AHF1026" s="740"/>
      <c r="AHG1026" s="740"/>
      <c r="AHH1026" s="740"/>
      <c r="AHI1026" s="740"/>
      <c r="AHJ1026" s="740"/>
      <c r="AHK1026" s="740"/>
      <c r="AHL1026" s="740"/>
      <c r="AHM1026" s="740"/>
      <c r="AHN1026" s="740"/>
      <c r="AHO1026" s="740"/>
      <c r="AHP1026" s="740"/>
      <c r="AHQ1026" s="740"/>
      <c r="AHR1026" s="740"/>
      <c r="AHS1026" s="740"/>
      <c r="AHT1026" s="740"/>
      <c r="AHU1026" s="740"/>
      <c r="AHV1026" s="740"/>
      <c r="AHW1026" s="740"/>
      <c r="AHX1026" s="740"/>
      <c r="AHY1026" s="740"/>
      <c r="AHZ1026" s="740"/>
      <c r="AIA1026" s="740"/>
      <c r="AIB1026" s="740"/>
      <c r="AIC1026" s="740"/>
      <c r="AID1026" s="740"/>
      <c r="AIE1026" s="740"/>
      <c r="AIF1026" s="740"/>
      <c r="AIG1026" s="740"/>
      <c r="AIH1026" s="740"/>
      <c r="AII1026" s="740"/>
      <c r="AIJ1026" s="740"/>
      <c r="AIK1026" s="740"/>
      <c r="AIL1026" s="740"/>
      <c r="AIM1026" s="740"/>
      <c r="AIN1026" s="740"/>
      <c r="AIO1026" s="740"/>
      <c r="AIP1026" s="740"/>
      <c r="AIQ1026" s="740"/>
      <c r="AIR1026" s="740"/>
      <c r="AIS1026" s="740"/>
      <c r="AIT1026" s="740"/>
      <c r="AIU1026" s="740"/>
      <c r="AIV1026" s="740"/>
      <c r="AIW1026" s="740"/>
      <c r="AIX1026" s="740"/>
      <c r="AIY1026" s="740"/>
      <c r="AIZ1026" s="740"/>
      <c r="AJA1026" s="740"/>
      <c r="AJB1026" s="740"/>
      <c r="AJC1026" s="740"/>
      <c r="AJD1026" s="740"/>
      <c r="AJE1026" s="740"/>
      <c r="AJF1026" s="740"/>
      <c r="AJG1026" s="740"/>
      <c r="AJH1026" s="740"/>
      <c r="AJI1026" s="740"/>
      <c r="AJJ1026" s="740"/>
      <c r="AJK1026" s="740"/>
      <c r="AJL1026" s="740"/>
      <c r="AJM1026" s="740"/>
      <c r="AJN1026" s="740"/>
      <c r="AJO1026" s="740"/>
      <c r="AJP1026" s="740"/>
      <c r="AJQ1026" s="740"/>
      <c r="AJR1026" s="740"/>
      <c r="AJS1026" s="740"/>
      <c r="AJT1026" s="740"/>
      <c r="AJU1026" s="740"/>
      <c r="AJV1026" s="740"/>
      <c r="AJW1026" s="740"/>
      <c r="AJX1026" s="740"/>
      <c r="AJY1026" s="740"/>
      <c r="AJZ1026" s="740"/>
      <c r="AKA1026" s="740"/>
      <c r="AKB1026" s="740"/>
      <c r="AKC1026" s="740"/>
      <c r="AKD1026" s="740"/>
      <c r="AKE1026" s="740"/>
      <c r="AKF1026" s="740"/>
      <c r="AKG1026" s="740"/>
      <c r="AKH1026" s="740"/>
      <c r="AKI1026" s="740"/>
      <c r="AKJ1026" s="740"/>
      <c r="AKK1026" s="740"/>
      <c r="AKL1026" s="740"/>
      <c r="AKM1026" s="740"/>
      <c r="AKN1026" s="740"/>
      <c r="AKO1026" s="740"/>
      <c r="AKP1026" s="740"/>
      <c r="AKQ1026" s="740"/>
      <c r="AKR1026" s="740"/>
      <c r="AKS1026" s="740"/>
      <c r="AKT1026" s="740"/>
      <c r="AKU1026" s="740"/>
      <c r="AKV1026" s="740"/>
      <c r="AKW1026" s="740"/>
      <c r="AKX1026" s="740"/>
      <c r="AKY1026" s="740"/>
      <c r="AKZ1026" s="740"/>
      <c r="ALA1026" s="740"/>
      <c r="ALB1026" s="740"/>
      <c r="ALC1026" s="740"/>
      <c r="ALD1026" s="740"/>
      <c r="ALE1026" s="740"/>
      <c r="ALF1026" s="740"/>
      <c r="ALG1026" s="740"/>
      <c r="ALH1026" s="740"/>
      <c r="ALI1026" s="740"/>
      <c r="ALJ1026" s="740"/>
      <c r="ALK1026" s="740"/>
      <c r="ALL1026" s="740"/>
      <c r="ALM1026" s="740"/>
      <c r="ALN1026" s="740"/>
      <c r="ALO1026" s="740"/>
      <c r="ALP1026" s="740"/>
      <c r="ALQ1026" s="740"/>
      <c r="ALR1026" s="740"/>
      <c r="ALS1026" s="740"/>
      <c r="ALT1026" s="740"/>
      <c r="ALU1026" s="740"/>
      <c r="ALV1026" s="740"/>
      <c r="ALW1026" s="740"/>
      <c r="ALX1026" s="740"/>
      <c r="ALY1026" s="740"/>
      <c r="ALZ1026" s="740"/>
      <c r="AMA1026" s="740"/>
      <c r="AMB1026" s="740"/>
      <c r="AMC1026" s="740"/>
      <c r="AMD1026" s="740"/>
      <c r="AME1026" s="740"/>
      <c r="AMF1026" s="740"/>
      <c r="AMG1026" s="740"/>
      <c r="AMH1026" s="740"/>
      <c r="AMI1026" s="740"/>
      <c r="AMJ1026" s="740"/>
      <c r="AMK1026" s="740"/>
    </row>
    <row r="1027" spans="1:1025" ht="15" customHeight="1">
      <c r="A1027" s="740"/>
      <c r="B1027" s="1147" t="s">
        <v>1398</v>
      </c>
      <c r="C1027" s="1147"/>
      <c r="D1027" s="1147"/>
      <c r="E1027" s="1147"/>
      <c r="F1027" s="1148"/>
      <c r="G1027" s="1148"/>
      <c r="H1027" s="1148"/>
      <c r="I1027" s="1148"/>
      <c r="J1027" s="1148"/>
      <c r="K1027" s="1148"/>
      <c r="L1027" s="740"/>
      <c r="M1027" s="740"/>
      <c r="N1027" s="740"/>
      <c r="O1027" s="740"/>
      <c r="P1027" s="740"/>
      <c r="Q1027" s="740"/>
      <c r="R1027" s="740"/>
      <c r="S1027" s="740"/>
      <c r="T1027" s="740"/>
      <c r="U1027" s="740"/>
      <c r="V1027" s="740"/>
      <c r="W1027" s="740"/>
      <c r="X1027" s="740"/>
      <c r="Y1027" s="740"/>
      <c r="Z1027" s="740"/>
      <c r="AA1027" s="740"/>
      <c r="AB1027" s="740"/>
      <c r="AC1027" s="740"/>
      <c r="AD1027" s="740"/>
      <c r="AE1027" s="740"/>
      <c r="AF1027" s="740"/>
      <c r="AG1027" s="740"/>
      <c r="AH1027" s="740"/>
      <c r="AI1027" s="740"/>
      <c r="AJ1027" s="740"/>
      <c r="AK1027" s="740"/>
      <c r="AL1027" s="740"/>
      <c r="AM1027" s="740"/>
      <c r="AN1027" s="740"/>
      <c r="AO1027" s="740"/>
      <c r="AP1027" s="740"/>
      <c r="AQ1027" s="740"/>
      <c r="AR1027" s="740"/>
      <c r="AS1027" s="740"/>
      <c r="AT1027" s="740"/>
      <c r="AU1027" s="740"/>
      <c r="AV1027" s="740"/>
      <c r="AW1027" s="740"/>
      <c r="AX1027" s="740"/>
      <c r="AY1027" s="740"/>
      <c r="AZ1027" s="740"/>
      <c r="BA1027" s="740"/>
      <c r="BB1027" s="740"/>
      <c r="BC1027" s="740"/>
      <c r="BD1027" s="740"/>
      <c r="BE1027" s="740"/>
      <c r="BF1027" s="740"/>
      <c r="BG1027" s="740"/>
      <c r="BH1027" s="740"/>
      <c r="BI1027" s="740"/>
      <c r="BJ1027" s="740"/>
      <c r="BK1027" s="740"/>
      <c r="BL1027" s="740"/>
      <c r="BM1027" s="740"/>
      <c r="BN1027" s="740"/>
      <c r="BO1027" s="740"/>
      <c r="BP1027" s="740"/>
      <c r="BQ1027" s="740"/>
      <c r="BR1027" s="740"/>
      <c r="BS1027" s="740"/>
      <c r="BT1027" s="740"/>
      <c r="BU1027" s="740"/>
      <c r="BV1027" s="740"/>
      <c r="BW1027" s="740"/>
      <c r="BX1027" s="740"/>
      <c r="BY1027" s="740"/>
      <c r="BZ1027" s="740"/>
      <c r="CA1027" s="740"/>
      <c r="CB1027" s="740"/>
      <c r="CC1027" s="740"/>
      <c r="CD1027" s="740"/>
      <c r="CE1027" s="740"/>
      <c r="CF1027" s="740"/>
      <c r="CG1027" s="740"/>
      <c r="CH1027" s="740"/>
      <c r="CI1027" s="740"/>
      <c r="CJ1027" s="740"/>
      <c r="CK1027" s="740"/>
      <c r="CL1027" s="740"/>
      <c r="CM1027" s="740"/>
      <c r="CN1027" s="740"/>
      <c r="CO1027" s="740"/>
      <c r="CP1027" s="740"/>
      <c r="CQ1027" s="740"/>
      <c r="CR1027" s="740"/>
      <c r="CS1027" s="740"/>
      <c r="CT1027" s="740"/>
      <c r="CU1027" s="740"/>
      <c r="CV1027" s="740"/>
      <c r="CW1027" s="740"/>
      <c r="CX1027" s="740"/>
      <c r="CY1027" s="740"/>
      <c r="CZ1027" s="740"/>
      <c r="DA1027" s="740"/>
      <c r="DB1027" s="740"/>
      <c r="DC1027" s="740"/>
      <c r="DD1027" s="740"/>
      <c r="DE1027" s="740"/>
      <c r="DF1027" s="740"/>
      <c r="DG1027" s="740"/>
      <c r="DH1027" s="740"/>
      <c r="DI1027" s="740"/>
      <c r="DJ1027" s="740"/>
      <c r="DK1027" s="740"/>
      <c r="DL1027" s="740"/>
      <c r="DM1027" s="740"/>
      <c r="DN1027" s="740"/>
      <c r="DO1027" s="740"/>
      <c r="DP1027" s="740"/>
      <c r="DQ1027" s="740"/>
      <c r="DR1027" s="740"/>
      <c r="DS1027" s="740"/>
      <c r="DT1027" s="740"/>
      <c r="DU1027" s="740"/>
      <c r="DV1027" s="740"/>
      <c r="DW1027" s="740"/>
      <c r="DX1027" s="740"/>
      <c r="DY1027" s="740"/>
      <c r="DZ1027" s="740"/>
      <c r="EA1027" s="740"/>
      <c r="EB1027" s="740"/>
      <c r="EC1027" s="740"/>
      <c r="ED1027" s="740"/>
      <c r="EE1027" s="740"/>
      <c r="EF1027" s="740"/>
      <c r="EG1027" s="740"/>
      <c r="EH1027" s="740"/>
      <c r="EI1027" s="740"/>
      <c r="EJ1027" s="740"/>
      <c r="EK1027" s="740"/>
      <c r="EL1027" s="740"/>
      <c r="EM1027" s="740"/>
      <c r="EN1027" s="740"/>
      <c r="EO1027" s="740"/>
      <c r="EP1027" s="740"/>
      <c r="EQ1027" s="740"/>
      <c r="ER1027" s="740"/>
      <c r="ES1027" s="740"/>
      <c r="ET1027" s="740"/>
      <c r="EU1027" s="740"/>
      <c r="EV1027" s="740"/>
      <c r="EW1027" s="740"/>
      <c r="EX1027" s="740"/>
      <c r="EY1027" s="740"/>
      <c r="EZ1027" s="740"/>
      <c r="FA1027" s="740"/>
      <c r="FB1027" s="740"/>
      <c r="FC1027" s="740"/>
      <c r="FD1027" s="740"/>
      <c r="FE1027" s="740"/>
      <c r="FF1027" s="740"/>
      <c r="FG1027" s="740"/>
      <c r="FH1027" s="740"/>
      <c r="FI1027" s="740"/>
      <c r="FJ1027" s="740"/>
      <c r="FK1027" s="740"/>
      <c r="FL1027" s="740"/>
      <c r="FM1027" s="740"/>
      <c r="FN1027" s="740"/>
      <c r="FO1027" s="740"/>
      <c r="FP1027" s="740"/>
      <c r="FQ1027" s="740"/>
      <c r="FR1027" s="740"/>
      <c r="FS1027" s="740"/>
      <c r="FT1027" s="740"/>
      <c r="FU1027" s="740"/>
      <c r="FV1027" s="740"/>
      <c r="FW1027" s="740"/>
      <c r="FX1027" s="740"/>
      <c r="FY1027" s="740"/>
      <c r="FZ1027" s="740"/>
      <c r="GA1027" s="740"/>
      <c r="GB1027" s="740"/>
      <c r="GC1027" s="740"/>
      <c r="GD1027" s="740"/>
      <c r="GE1027" s="740"/>
      <c r="GF1027" s="740"/>
      <c r="GG1027" s="740"/>
      <c r="GH1027" s="740"/>
      <c r="GI1027" s="740"/>
      <c r="GJ1027" s="740"/>
      <c r="GK1027" s="740"/>
      <c r="GL1027" s="740"/>
      <c r="GM1027" s="740"/>
      <c r="GN1027" s="740"/>
      <c r="GO1027" s="740"/>
      <c r="GP1027" s="740"/>
      <c r="GQ1027" s="740"/>
      <c r="GR1027" s="740"/>
      <c r="GS1027" s="740"/>
      <c r="GT1027" s="740"/>
      <c r="GU1027" s="740"/>
      <c r="GV1027" s="740"/>
      <c r="GW1027" s="740"/>
      <c r="GX1027" s="740"/>
      <c r="GY1027" s="740"/>
      <c r="GZ1027" s="740"/>
      <c r="HA1027" s="740"/>
      <c r="HB1027" s="740"/>
      <c r="HC1027" s="740"/>
      <c r="HD1027" s="740"/>
      <c r="HE1027" s="740"/>
      <c r="HF1027" s="740"/>
      <c r="HG1027" s="740"/>
      <c r="HH1027" s="740"/>
      <c r="HI1027" s="740"/>
      <c r="HJ1027" s="740"/>
      <c r="HK1027" s="740"/>
      <c r="HL1027" s="740"/>
      <c r="HM1027" s="740"/>
      <c r="HN1027" s="740"/>
      <c r="HO1027" s="740"/>
      <c r="HP1027" s="740"/>
      <c r="HQ1027" s="740"/>
      <c r="HR1027" s="740"/>
      <c r="HS1027" s="740"/>
      <c r="HT1027" s="740"/>
      <c r="HU1027" s="740"/>
      <c r="HV1027" s="740"/>
      <c r="HW1027" s="740"/>
      <c r="HX1027" s="740"/>
      <c r="HY1027" s="740"/>
      <c r="HZ1027" s="740"/>
      <c r="IA1027" s="740"/>
      <c r="IB1027" s="740"/>
      <c r="IC1027" s="740"/>
      <c r="ID1027" s="740"/>
      <c r="IE1027" s="740"/>
      <c r="IF1027" s="740"/>
      <c r="IG1027" s="740"/>
      <c r="IH1027" s="740"/>
      <c r="II1027" s="740"/>
      <c r="IJ1027" s="740"/>
      <c r="IK1027" s="740"/>
      <c r="IL1027" s="740"/>
      <c r="IM1027" s="740"/>
      <c r="IN1027" s="740"/>
      <c r="IO1027" s="740"/>
      <c r="IP1027" s="740"/>
      <c r="IQ1027" s="740"/>
      <c r="IR1027" s="740"/>
      <c r="IS1027" s="740"/>
      <c r="IT1027" s="740"/>
      <c r="IU1027" s="740"/>
      <c r="IV1027" s="740"/>
      <c r="IW1027" s="740"/>
      <c r="IX1027" s="740"/>
      <c r="IY1027" s="740"/>
      <c r="IZ1027" s="740"/>
      <c r="JA1027" s="740"/>
      <c r="JB1027" s="740"/>
      <c r="JC1027" s="740"/>
      <c r="JD1027" s="740"/>
      <c r="JE1027" s="740"/>
      <c r="JF1027" s="740"/>
      <c r="JG1027" s="740"/>
      <c r="JH1027" s="740"/>
      <c r="JI1027" s="740"/>
      <c r="JJ1027" s="740"/>
      <c r="JK1027" s="740"/>
      <c r="JL1027" s="740"/>
      <c r="JM1027" s="740"/>
      <c r="JN1027" s="740"/>
      <c r="JO1027" s="740"/>
      <c r="JP1027" s="740"/>
      <c r="JQ1027" s="740"/>
      <c r="JR1027" s="740"/>
      <c r="JS1027" s="740"/>
      <c r="JT1027" s="740"/>
      <c r="JU1027" s="740"/>
      <c r="JV1027" s="740"/>
      <c r="JW1027" s="740"/>
      <c r="JX1027" s="740"/>
      <c r="JY1027" s="740"/>
      <c r="JZ1027" s="740"/>
      <c r="KA1027" s="740"/>
      <c r="KB1027" s="740"/>
      <c r="KC1027" s="740"/>
      <c r="KD1027" s="740"/>
      <c r="KE1027" s="740"/>
      <c r="KF1027" s="740"/>
      <c r="KG1027" s="740"/>
      <c r="KH1027" s="740"/>
      <c r="KI1027" s="740"/>
      <c r="KJ1027" s="740"/>
      <c r="KK1027" s="740"/>
      <c r="KL1027" s="740"/>
      <c r="KM1027" s="740"/>
      <c r="KN1027" s="740"/>
      <c r="KO1027" s="740"/>
      <c r="KP1027" s="740"/>
      <c r="KQ1027" s="740"/>
      <c r="KR1027" s="740"/>
      <c r="KS1027" s="740"/>
      <c r="KT1027" s="740"/>
      <c r="KU1027" s="740"/>
      <c r="KV1027" s="740"/>
      <c r="KW1027" s="740"/>
      <c r="KX1027" s="740"/>
      <c r="KY1027" s="740"/>
      <c r="KZ1027" s="740"/>
      <c r="LA1027" s="740"/>
      <c r="LB1027" s="740"/>
      <c r="LC1027" s="740"/>
      <c r="LD1027" s="740"/>
      <c r="LE1027" s="740"/>
      <c r="LF1027" s="740"/>
      <c r="LG1027" s="740"/>
      <c r="LH1027" s="740"/>
      <c r="LI1027" s="740"/>
      <c r="LJ1027" s="740"/>
      <c r="LK1027" s="740"/>
      <c r="LL1027" s="740"/>
      <c r="LM1027" s="740"/>
      <c r="LN1027" s="740"/>
      <c r="LO1027" s="740"/>
      <c r="LP1027" s="740"/>
      <c r="LQ1027" s="740"/>
      <c r="LR1027" s="740"/>
      <c r="LS1027" s="740"/>
      <c r="LT1027" s="740"/>
      <c r="LU1027" s="740"/>
      <c r="LV1027" s="740"/>
      <c r="LW1027" s="740"/>
      <c r="LX1027" s="740"/>
      <c r="LY1027" s="740"/>
      <c r="LZ1027" s="740"/>
      <c r="MA1027" s="740"/>
      <c r="MB1027" s="740"/>
      <c r="MC1027" s="740"/>
      <c r="MD1027" s="740"/>
      <c r="ME1027" s="740"/>
      <c r="MF1027" s="740"/>
      <c r="MG1027" s="740"/>
      <c r="MH1027" s="740"/>
      <c r="MI1027" s="740"/>
      <c r="MJ1027" s="740"/>
      <c r="MK1027" s="740"/>
      <c r="ML1027" s="740"/>
      <c r="MM1027" s="740"/>
      <c r="MN1027" s="740"/>
      <c r="MO1027" s="740"/>
      <c r="MP1027" s="740"/>
      <c r="MQ1027" s="740"/>
      <c r="MR1027" s="740"/>
      <c r="MS1027" s="740"/>
      <c r="MT1027" s="740"/>
      <c r="MU1027" s="740"/>
      <c r="MV1027" s="740"/>
      <c r="MW1027" s="740"/>
      <c r="MX1027" s="740"/>
      <c r="MY1027" s="740"/>
      <c r="MZ1027" s="740"/>
      <c r="NA1027" s="740"/>
      <c r="NB1027" s="740"/>
      <c r="NC1027" s="740"/>
      <c r="ND1027" s="740"/>
      <c r="NE1027" s="740"/>
      <c r="NF1027" s="740"/>
      <c r="NG1027" s="740"/>
      <c r="NH1027" s="740"/>
      <c r="NI1027" s="740"/>
      <c r="NJ1027" s="740"/>
      <c r="NK1027" s="740"/>
      <c r="NL1027" s="740"/>
      <c r="NM1027" s="740"/>
      <c r="NN1027" s="740"/>
      <c r="NO1027" s="740"/>
      <c r="NP1027" s="740"/>
      <c r="NQ1027" s="740"/>
      <c r="NR1027" s="740"/>
      <c r="NS1027" s="740"/>
      <c r="NT1027" s="740"/>
      <c r="NU1027" s="740"/>
      <c r="NV1027" s="740"/>
      <c r="NW1027" s="740"/>
      <c r="NX1027" s="740"/>
      <c r="NY1027" s="740"/>
      <c r="NZ1027" s="740"/>
      <c r="OA1027" s="740"/>
      <c r="OB1027" s="740"/>
      <c r="OC1027" s="740"/>
      <c r="OD1027" s="740"/>
      <c r="OE1027" s="740"/>
      <c r="OF1027" s="740"/>
      <c r="OG1027" s="740"/>
      <c r="OH1027" s="740"/>
      <c r="OI1027" s="740"/>
      <c r="OJ1027" s="740"/>
      <c r="OK1027" s="740"/>
      <c r="OL1027" s="740"/>
      <c r="OM1027" s="740"/>
      <c r="ON1027" s="740"/>
      <c r="OO1027" s="740"/>
      <c r="OP1027" s="740"/>
      <c r="OQ1027" s="740"/>
      <c r="OR1027" s="740"/>
      <c r="OS1027" s="740"/>
      <c r="OT1027" s="740"/>
      <c r="OU1027" s="740"/>
      <c r="OV1027" s="740"/>
      <c r="OW1027" s="740"/>
      <c r="OX1027" s="740"/>
      <c r="OY1027" s="740"/>
      <c r="OZ1027" s="740"/>
      <c r="PA1027" s="740"/>
      <c r="PB1027" s="740"/>
      <c r="PC1027" s="740"/>
      <c r="PD1027" s="740"/>
      <c r="PE1027" s="740"/>
      <c r="PF1027" s="740"/>
      <c r="PG1027" s="740"/>
      <c r="PH1027" s="740"/>
      <c r="PI1027" s="740"/>
      <c r="PJ1027" s="740"/>
      <c r="PK1027" s="740"/>
      <c r="PL1027" s="740"/>
      <c r="PM1027" s="740"/>
      <c r="PN1027" s="740"/>
      <c r="PO1027" s="740"/>
      <c r="PP1027" s="740"/>
      <c r="PQ1027" s="740"/>
      <c r="PR1027" s="740"/>
      <c r="PS1027" s="740"/>
      <c r="PT1027" s="740"/>
      <c r="PU1027" s="740"/>
      <c r="PV1027" s="740"/>
      <c r="PW1027" s="740"/>
      <c r="PX1027" s="740"/>
      <c r="PY1027" s="740"/>
      <c r="PZ1027" s="740"/>
      <c r="QA1027" s="740"/>
      <c r="QB1027" s="740"/>
      <c r="QC1027" s="740"/>
      <c r="QD1027" s="740"/>
      <c r="QE1027" s="740"/>
      <c r="QF1027" s="740"/>
      <c r="QG1027" s="740"/>
      <c r="QH1027" s="740"/>
      <c r="QI1027" s="740"/>
      <c r="QJ1027" s="740"/>
      <c r="QK1027" s="740"/>
      <c r="QL1027" s="740"/>
      <c r="QM1027" s="740"/>
      <c r="QN1027" s="740"/>
      <c r="QO1027" s="740"/>
      <c r="QP1027" s="740"/>
      <c r="QQ1027" s="740"/>
      <c r="QR1027" s="740"/>
      <c r="QS1027" s="740"/>
      <c r="QT1027" s="740"/>
      <c r="QU1027" s="740"/>
      <c r="QV1027" s="740"/>
      <c r="QW1027" s="740"/>
      <c r="QX1027" s="740"/>
      <c r="QY1027" s="740"/>
      <c r="QZ1027" s="740"/>
      <c r="RA1027" s="740"/>
      <c r="RB1027" s="740"/>
      <c r="RC1027" s="740"/>
      <c r="RD1027" s="740"/>
      <c r="RE1027" s="740"/>
      <c r="RF1027" s="740"/>
      <c r="RG1027" s="740"/>
      <c r="RH1027" s="740"/>
      <c r="RI1027" s="740"/>
      <c r="RJ1027" s="740"/>
      <c r="RK1027" s="740"/>
      <c r="RL1027" s="740"/>
      <c r="RM1027" s="740"/>
      <c r="RN1027" s="740"/>
      <c r="RO1027" s="740"/>
      <c r="RP1027" s="740"/>
      <c r="RQ1027" s="740"/>
      <c r="RR1027" s="740"/>
      <c r="RS1027" s="740"/>
      <c r="RT1027" s="740"/>
      <c r="RU1027" s="740"/>
      <c r="RV1027" s="740"/>
      <c r="RW1027" s="740"/>
      <c r="RX1027" s="740"/>
      <c r="RY1027" s="740"/>
      <c r="RZ1027" s="740"/>
      <c r="SA1027" s="740"/>
      <c r="SB1027" s="740"/>
      <c r="SC1027" s="740"/>
      <c r="SD1027" s="740"/>
      <c r="SE1027" s="740"/>
      <c r="SF1027" s="740"/>
      <c r="SG1027" s="740"/>
      <c r="SH1027" s="740"/>
      <c r="SI1027" s="740"/>
      <c r="SJ1027" s="740"/>
      <c r="SK1027" s="740"/>
      <c r="SL1027" s="740"/>
      <c r="SM1027" s="740"/>
      <c r="SN1027" s="740"/>
      <c r="SO1027" s="740"/>
      <c r="SP1027" s="740"/>
      <c r="SQ1027" s="740"/>
      <c r="SR1027" s="740"/>
      <c r="SS1027" s="740"/>
      <c r="ST1027" s="740"/>
      <c r="SU1027" s="740"/>
      <c r="SV1027" s="740"/>
      <c r="SW1027" s="740"/>
      <c r="SX1027" s="740"/>
      <c r="SY1027" s="740"/>
      <c r="SZ1027" s="740"/>
      <c r="TA1027" s="740"/>
      <c r="TB1027" s="740"/>
      <c r="TC1027" s="740"/>
      <c r="TD1027" s="740"/>
      <c r="TE1027" s="740"/>
      <c r="TF1027" s="740"/>
      <c r="TG1027" s="740"/>
      <c r="TH1027" s="740"/>
      <c r="TI1027" s="740"/>
      <c r="TJ1027" s="740"/>
      <c r="TK1027" s="740"/>
      <c r="TL1027" s="740"/>
      <c r="TM1027" s="740"/>
      <c r="TN1027" s="740"/>
      <c r="TO1027" s="740"/>
      <c r="TP1027" s="740"/>
      <c r="TQ1027" s="740"/>
      <c r="TR1027" s="740"/>
      <c r="TS1027" s="740"/>
      <c r="TT1027" s="740"/>
      <c r="TU1027" s="740"/>
      <c r="TV1027" s="740"/>
      <c r="TW1027" s="740"/>
      <c r="TX1027" s="740"/>
      <c r="TY1027" s="740"/>
      <c r="TZ1027" s="740"/>
      <c r="UA1027" s="740"/>
      <c r="UB1027" s="740"/>
      <c r="UC1027" s="740"/>
      <c r="UD1027" s="740"/>
      <c r="UE1027" s="740"/>
      <c r="UF1027" s="740"/>
      <c r="UG1027" s="740"/>
      <c r="UH1027" s="740"/>
      <c r="UI1027" s="740"/>
      <c r="UJ1027" s="740"/>
      <c r="UK1027" s="740"/>
      <c r="UL1027" s="740"/>
      <c r="UM1027" s="740"/>
      <c r="UN1027" s="740"/>
      <c r="UO1027" s="740"/>
      <c r="UP1027" s="740"/>
      <c r="UQ1027" s="740"/>
      <c r="UR1027" s="740"/>
      <c r="US1027" s="740"/>
      <c r="UT1027" s="740"/>
      <c r="UU1027" s="740"/>
      <c r="UV1027" s="740"/>
      <c r="UW1027" s="740"/>
      <c r="UX1027" s="740"/>
      <c r="UY1027" s="740"/>
      <c r="UZ1027" s="740"/>
      <c r="VA1027" s="740"/>
      <c r="VB1027" s="740"/>
      <c r="VC1027" s="740"/>
      <c r="VD1027" s="740"/>
      <c r="VE1027" s="740"/>
      <c r="VF1027" s="740"/>
      <c r="VG1027" s="740"/>
      <c r="VH1027" s="740"/>
      <c r="VI1027" s="740"/>
      <c r="VJ1027" s="740"/>
      <c r="VK1027" s="740"/>
      <c r="VL1027" s="740"/>
      <c r="VM1027" s="740"/>
      <c r="VN1027" s="740"/>
      <c r="VO1027" s="740"/>
      <c r="VP1027" s="740"/>
      <c r="VQ1027" s="740"/>
      <c r="VR1027" s="740"/>
      <c r="VS1027" s="740"/>
      <c r="VT1027" s="740"/>
      <c r="VU1027" s="740"/>
      <c r="VV1027" s="740"/>
      <c r="VW1027" s="740"/>
      <c r="VX1027" s="740"/>
      <c r="VY1027" s="740"/>
      <c r="VZ1027" s="740"/>
      <c r="WA1027" s="740"/>
      <c r="WB1027" s="740"/>
      <c r="WC1027" s="740"/>
      <c r="WD1027" s="740"/>
      <c r="WE1027" s="740"/>
      <c r="WF1027" s="740"/>
      <c r="WG1027" s="740"/>
      <c r="WH1027" s="740"/>
      <c r="WI1027" s="740"/>
      <c r="WJ1027" s="740"/>
      <c r="WK1027" s="740"/>
      <c r="WL1027" s="740"/>
      <c r="WM1027" s="740"/>
      <c r="WN1027" s="740"/>
      <c r="WO1027" s="740"/>
      <c r="WP1027" s="740"/>
      <c r="WQ1027" s="740"/>
      <c r="WR1027" s="740"/>
      <c r="WS1027" s="740"/>
      <c r="WT1027" s="740"/>
      <c r="WU1027" s="740"/>
      <c r="WV1027" s="740"/>
      <c r="WW1027" s="740"/>
      <c r="WX1027" s="740"/>
      <c r="WY1027" s="740"/>
      <c r="WZ1027" s="740"/>
      <c r="XA1027" s="740"/>
      <c r="XB1027" s="740"/>
      <c r="XC1027" s="740"/>
      <c r="XD1027" s="740"/>
      <c r="XE1027" s="740"/>
      <c r="XF1027" s="740"/>
      <c r="XG1027" s="740"/>
      <c r="XH1027" s="740"/>
      <c r="XI1027" s="740"/>
      <c r="XJ1027" s="740"/>
      <c r="XK1027" s="740"/>
      <c r="XL1027" s="740"/>
      <c r="XM1027" s="740"/>
      <c r="XN1027" s="740"/>
      <c r="XO1027" s="740"/>
      <c r="XP1027" s="740"/>
      <c r="XQ1027" s="740"/>
      <c r="XR1027" s="740"/>
      <c r="XS1027" s="740"/>
      <c r="XT1027" s="740"/>
      <c r="XU1027" s="740"/>
      <c r="XV1027" s="740"/>
      <c r="XW1027" s="740"/>
      <c r="XX1027" s="740"/>
      <c r="XY1027" s="740"/>
      <c r="XZ1027" s="740"/>
      <c r="YA1027" s="740"/>
      <c r="YB1027" s="740"/>
      <c r="YC1027" s="740"/>
      <c r="YD1027" s="740"/>
      <c r="YE1027" s="740"/>
      <c r="YF1027" s="740"/>
      <c r="YG1027" s="740"/>
      <c r="YH1027" s="740"/>
      <c r="YI1027" s="740"/>
      <c r="YJ1027" s="740"/>
      <c r="YK1027" s="740"/>
      <c r="YL1027" s="740"/>
      <c r="YM1027" s="740"/>
      <c r="YN1027" s="740"/>
      <c r="YO1027" s="740"/>
      <c r="YP1027" s="740"/>
      <c r="YQ1027" s="740"/>
      <c r="YR1027" s="740"/>
      <c r="YS1027" s="740"/>
      <c r="YT1027" s="740"/>
      <c r="YU1027" s="740"/>
      <c r="YV1027" s="740"/>
      <c r="YW1027" s="740"/>
      <c r="YX1027" s="740"/>
      <c r="YY1027" s="740"/>
      <c r="YZ1027" s="740"/>
      <c r="ZA1027" s="740"/>
      <c r="ZB1027" s="740"/>
      <c r="ZC1027" s="740"/>
      <c r="ZD1027" s="740"/>
      <c r="ZE1027" s="740"/>
      <c r="ZF1027" s="740"/>
      <c r="ZG1027" s="740"/>
      <c r="ZH1027" s="740"/>
      <c r="ZI1027" s="740"/>
      <c r="ZJ1027" s="740"/>
      <c r="ZK1027" s="740"/>
      <c r="ZL1027" s="740"/>
      <c r="ZM1027" s="740"/>
      <c r="ZN1027" s="740"/>
      <c r="ZO1027" s="740"/>
      <c r="ZP1027" s="740"/>
      <c r="ZQ1027" s="740"/>
      <c r="ZR1027" s="740"/>
      <c r="ZS1027" s="740"/>
      <c r="ZT1027" s="740"/>
      <c r="ZU1027" s="740"/>
      <c r="ZV1027" s="740"/>
      <c r="ZW1027" s="740"/>
      <c r="ZX1027" s="740"/>
      <c r="ZY1027" s="740"/>
      <c r="ZZ1027" s="740"/>
      <c r="AAA1027" s="740"/>
      <c r="AAB1027" s="740"/>
      <c r="AAC1027" s="740"/>
      <c r="AAD1027" s="740"/>
      <c r="AAE1027" s="740"/>
      <c r="AAF1027" s="740"/>
      <c r="AAG1027" s="740"/>
      <c r="AAH1027" s="740"/>
      <c r="AAI1027" s="740"/>
      <c r="AAJ1027" s="740"/>
      <c r="AAK1027" s="740"/>
      <c r="AAL1027" s="740"/>
      <c r="AAM1027" s="740"/>
      <c r="AAN1027" s="740"/>
      <c r="AAO1027" s="740"/>
      <c r="AAP1027" s="740"/>
      <c r="AAQ1027" s="740"/>
      <c r="AAR1027" s="740"/>
      <c r="AAS1027" s="740"/>
      <c r="AAT1027" s="740"/>
      <c r="AAU1027" s="740"/>
      <c r="AAV1027" s="740"/>
      <c r="AAW1027" s="740"/>
      <c r="AAX1027" s="740"/>
      <c r="AAY1027" s="740"/>
      <c r="AAZ1027" s="740"/>
      <c r="ABA1027" s="740"/>
      <c r="ABB1027" s="740"/>
      <c r="ABC1027" s="740"/>
      <c r="ABD1027" s="740"/>
      <c r="ABE1027" s="740"/>
      <c r="ABF1027" s="740"/>
      <c r="ABG1027" s="740"/>
      <c r="ABH1027" s="740"/>
      <c r="ABI1027" s="740"/>
      <c r="ABJ1027" s="740"/>
      <c r="ABK1027" s="740"/>
      <c r="ABL1027" s="740"/>
      <c r="ABM1027" s="740"/>
      <c r="ABN1027" s="740"/>
      <c r="ABO1027" s="740"/>
      <c r="ABP1027" s="740"/>
      <c r="ABQ1027" s="740"/>
      <c r="ABR1027" s="740"/>
      <c r="ABS1027" s="740"/>
      <c r="ABT1027" s="740"/>
      <c r="ABU1027" s="740"/>
      <c r="ABV1027" s="740"/>
      <c r="ABW1027" s="740"/>
      <c r="ABX1027" s="740"/>
      <c r="ABY1027" s="740"/>
      <c r="ABZ1027" s="740"/>
      <c r="ACA1027" s="740"/>
      <c r="ACB1027" s="740"/>
      <c r="ACC1027" s="740"/>
      <c r="ACD1027" s="740"/>
      <c r="ACE1027" s="740"/>
      <c r="ACF1027" s="740"/>
      <c r="ACG1027" s="740"/>
      <c r="ACH1027" s="740"/>
      <c r="ACI1027" s="740"/>
      <c r="ACJ1027" s="740"/>
      <c r="ACK1027" s="740"/>
      <c r="ACL1027" s="740"/>
      <c r="ACM1027" s="740"/>
      <c r="ACN1027" s="740"/>
      <c r="ACO1027" s="740"/>
      <c r="ACP1027" s="740"/>
      <c r="ACQ1027" s="740"/>
      <c r="ACR1027" s="740"/>
      <c r="ACS1027" s="740"/>
      <c r="ACT1027" s="740"/>
      <c r="ACU1027" s="740"/>
      <c r="ACV1027" s="740"/>
      <c r="ACW1027" s="740"/>
      <c r="ACX1027" s="740"/>
      <c r="ACY1027" s="740"/>
      <c r="ACZ1027" s="740"/>
      <c r="ADA1027" s="740"/>
      <c r="ADB1027" s="740"/>
      <c r="ADC1027" s="740"/>
      <c r="ADD1027" s="740"/>
      <c r="ADE1027" s="740"/>
      <c r="ADF1027" s="740"/>
      <c r="ADG1027" s="740"/>
      <c r="ADH1027" s="740"/>
      <c r="ADI1027" s="740"/>
      <c r="ADJ1027" s="740"/>
      <c r="ADK1027" s="740"/>
      <c r="ADL1027" s="740"/>
      <c r="ADM1027" s="740"/>
      <c r="ADN1027" s="740"/>
      <c r="ADO1027" s="740"/>
      <c r="ADP1027" s="740"/>
      <c r="ADQ1027" s="740"/>
      <c r="ADR1027" s="740"/>
      <c r="ADS1027" s="740"/>
      <c r="ADT1027" s="740"/>
      <c r="ADU1027" s="740"/>
      <c r="ADV1027" s="740"/>
      <c r="ADW1027" s="740"/>
      <c r="ADX1027" s="740"/>
      <c r="ADY1027" s="740"/>
      <c r="ADZ1027" s="740"/>
      <c r="AEA1027" s="740"/>
      <c r="AEB1027" s="740"/>
      <c r="AEC1027" s="740"/>
      <c r="AED1027" s="740"/>
      <c r="AEE1027" s="740"/>
      <c r="AEF1027" s="740"/>
      <c r="AEG1027" s="740"/>
      <c r="AEH1027" s="740"/>
      <c r="AEI1027" s="740"/>
      <c r="AEJ1027" s="740"/>
      <c r="AEK1027" s="740"/>
      <c r="AEL1027" s="740"/>
      <c r="AEM1027" s="740"/>
      <c r="AEN1027" s="740"/>
      <c r="AEO1027" s="740"/>
      <c r="AEP1027" s="740"/>
      <c r="AEQ1027" s="740"/>
      <c r="AER1027" s="740"/>
      <c r="AES1027" s="740"/>
      <c r="AET1027" s="740"/>
      <c r="AEU1027" s="740"/>
      <c r="AEV1027" s="740"/>
      <c r="AEW1027" s="740"/>
      <c r="AEX1027" s="740"/>
      <c r="AEY1027" s="740"/>
      <c r="AEZ1027" s="740"/>
      <c r="AFA1027" s="740"/>
      <c r="AFB1027" s="740"/>
      <c r="AFC1027" s="740"/>
      <c r="AFD1027" s="740"/>
      <c r="AFE1027" s="740"/>
      <c r="AFF1027" s="740"/>
      <c r="AFG1027" s="740"/>
      <c r="AFH1027" s="740"/>
      <c r="AFI1027" s="740"/>
      <c r="AFJ1027" s="740"/>
      <c r="AFK1027" s="740"/>
      <c r="AFL1027" s="740"/>
      <c r="AFM1027" s="740"/>
      <c r="AFN1027" s="740"/>
      <c r="AFO1027" s="740"/>
      <c r="AFP1027" s="740"/>
      <c r="AFQ1027" s="740"/>
      <c r="AFR1027" s="740"/>
      <c r="AFS1027" s="740"/>
      <c r="AFT1027" s="740"/>
      <c r="AFU1027" s="740"/>
      <c r="AFV1027" s="740"/>
      <c r="AFW1027" s="740"/>
      <c r="AFX1027" s="740"/>
      <c r="AFY1027" s="740"/>
      <c r="AFZ1027" s="740"/>
      <c r="AGA1027" s="740"/>
      <c r="AGB1027" s="740"/>
      <c r="AGC1027" s="740"/>
      <c r="AGD1027" s="740"/>
      <c r="AGE1027" s="740"/>
      <c r="AGF1027" s="740"/>
      <c r="AGG1027" s="740"/>
      <c r="AGH1027" s="740"/>
      <c r="AGI1027" s="740"/>
      <c r="AGJ1027" s="740"/>
      <c r="AGK1027" s="740"/>
      <c r="AGL1027" s="740"/>
      <c r="AGM1027" s="740"/>
      <c r="AGN1027" s="740"/>
      <c r="AGO1027" s="740"/>
      <c r="AGP1027" s="740"/>
      <c r="AGQ1027" s="740"/>
      <c r="AGR1027" s="740"/>
      <c r="AGS1027" s="740"/>
      <c r="AGT1027" s="740"/>
      <c r="AGU1027" s="740"/>
      <c r="AGV1027" s="740"/>
      <c r="AGW1027" s="740"/>
      <c r="AGX1027" s="740"/>
      <c r="AGY1027" s="740"/>
      <c r="AGZ1027" s="740"/>
      <c r="AHA1027" s="740"/>
      <c r="AHB1027" s="740"/>
      <c r="AHC1027" s="740"/>
      <c r="AHD1027" s="740"/>
      <c r="AHE1027" s="740"/>
      <c r="AHF1027" s="740"/>
      <c r="AHG1027" s="740"/>
      <c r="AHH1027" s="740"/>
      <c r="AHI1027" s="740"/>
      <c r="AHJ1027" s="740"/>
      <c r="AHK1027" s="740"/>
      <c r="AHL1027" s="740"/>
      <c r="AHM1027" s="740"/>
      <c r="AHN1027" s="740"/>
      <c r="AHO1027" s="740"/>
      <c r="AHP1027" s="740"/>
      <c r="AHQ1027" s="740"/>
      <c r="AHR1027" s="740"/>
      <c r="AHS1027" s="740"/>
      <c r="AHT1027" s="740"/>
      <c r="AHU1027" s="740"/>
      <c r="AHV1027" s="740"/>
      <c r="AHW1027" s="740"/>
      <c r="AHX1027" s="740"/>
      <c r="AHY1027" s="740"/>
      <c r="AHZ1027" s="740"/>
      <c r="AIA1027" s="740"/>
      <c r="AIB1027" s="740"/>
      <c r="AIC1027" s="740"/>
      <c r="AID1027" s="740"/>
      <c r="AIE1027" s="740"/>
      <c r="AIF1027" s="740"/>
      <c r="AIG1027" s="740"/>
      <c r="AIH1027" s="740"/>
      <c r="AII1027" s="740"/>
      <c r="AIJ1027" s="740"/>
      <c r="AIK1027" s="740"/>
      <c r="AIL1027" s="740"/>
      <c r="AIM1027" s="740"/>
      <c r="AIN1027" s="740"/>
      <c r="AIO1027" s="740"/>
      <c r="AIP1027" s="740"/>
      <c r="AIQ1027" s="740"/>
      <c r="AIR1027" s="740"/>
      <c r="AIS1027" s="740"/>
      <c r="AIT1027" s="740"/>
      <c r="AIU1027" s="740"/>
      <c r="AIV1027" s="740"/>
      <c r="AIW1027" s="740"/>
      <c r="AIX1027" s="740"/>
      <c r="AIY1027" s="740"/>
      <c r="AIZ1027" s="740"/>
      <c r="AJA1027" s="740"/>
      <c r="AJB1027" s="740"/>
      <c r="AJC1027" s="740"/>
      <c r="AJD1027" s="740"/>
      <c r="AJE1027" s="740"/>
      <c r="AJF1027" s="740"/>
      <c r="AJG1027" s="740"/>
      <c r="AJH1027" s="740"/>
      <c r="AJI1027" s="740"/>
      <c r="AJJ1027" s="740"/>
      <c r="AJK1027" s="740"/>
      <c r="AJL1027" s="740"/>
      <c r="AJM1027" s="740"/>
      <c r="AJN1027" s="740"/>
      <c r="AJO1027" s="740"/>
      <c r="AJP1027" s="740"/>
      <c r="AJQ1027" s="740"/>
      <c r="AJR1027" s="740"/>
      <c r="AJS1027" s="740"/>
      <c r="AJT1027" s="740"/>
      <c r="AJU1027" s="740"/>
      <c r="AJV1027" s="740"/>
      <c r="AJW1027" s="740"/>
      <c r="AJX1027" s="740"/>
      <c r="AJY1027" s="740"/>
      <c r="AJZ1027" s="740"/>
      <c r="AKA1027" s="740"/>
      <c r="AKB1027" s="740"/>
      <c r="AKC1027" s="740"/>
      <c r="AKD1027" s="740"/>
      <c r="AKE1027" s="740"/>
      <c r="AKF1027" s="740"/>
      <c r="AKG1027" s="740"/>
      <c r="AKH1027" s="740"/>
      <c r="AKI1027" s="740"/>
      <c r="AKJ1027" s="740"/>
      <c r="AKK1027" s="740"/>
      <c r="AKL1027" s="740"/>
      <c r="AKM1027" s="740"/>
      <c r="AKN1027" s="740"/>
      <c r="AKO1027" s="740"/>
      <c r="AKP1027" s="740"/>
      <c r="AKQ1027" s="740"/>
      <c r="AKR1027" s="740"/>
      <c r="AKS1027" s="740"/>
      <c r="AKT1027" s="740"/>
      <c r="AKU1027" s="740"/>
      <c r="AKV1027" s="740"/>
      <c r="AKW1027" s="740"/>
      <c r="AKX1027" s="740"/>
      <c r="AKY1027" s="740"/>
      <c r="AKZ1027" s="740"/>
      <c r="ALA1027" s="740"/>
      <c r="ALB1027" s="740"/>
      <c r="ALC1027" s="740"/>
      <c r="ALD1027" s="740"/>
      <c r="ALE1027" s="740"/>
      <c r="ALF1027" s="740"/>
      <c r="ALG1027" s="740"/>
      <c r="ALH1027" s="740"/>
      <c r="ALI1027" s="740"/>
      <c r="ALJ1027" s="740"/>
      <c r="ALK1027" s="740"/>
      <c r="ALL1027" s="740"/>
      <c r="ALM1027" s="740"/>
      <c r="ALN1027" s="740"/>
      <c r="ALO1027" s="740"/>
      <c r="ALP1027" s="740"/>
      <c r="ALQ1027" s="740"/>
      <c r="ALR1027" s="740"/>
      <c r="ALS1027" s="740"/>
      <c r="ALT1027" s="740"/>
      <c r="ALU1027" s="740"/>
      <c r="ALV1027" s="740"/>
      <c r="ALW1027" s="740"/>
      <c r="ALX1027" s="740"/>
      <c r="ALY1027" s="740"/>
      <c r="ALZ1027" s="740"/>
      <c r="AMA1027" s="740"/>
      <c r="AMB1027" s="740"/>
      <c r="AMC1027" s="740"/>
      <c r="AMD1027" s="740"/>
      <c r="AME1027" s="740"/>
      <c r="AMF1027" s="740"/>
      <c r="AMG1027" s="740"/>
      <c r="AMH1027" s="740"/>
      <c r="AMI1027" s="740"/>
      <c r="AMJ1027" s="740"/>
      <c r="AMK1027" s="740"/>
    </row>
    <row r="1028" spans="1:1025" ht="15.75">
      <c r="A1028" s="740"/>
      <c r="B1028" s="1149"/>
      <c r="C1028" s="1149"/>
      <c r="D1028" s="1149"/>
      <c r="E1028" s="1149"/>
      <c r="F1028" s="1149"/>
      <c r="G1028" s="1149"/>
      <c r="H1028" s="1149"/>
      <c r="I1028" s="1149"/>
      <c r="J1028" s="1149"/>
      <c r="K1028" s="1149"/>
      <c r="L1028" s="740"/>
      <c r="M1028" s="740"/>
      <c r="N1028" s="740"/>
      <c r="O1028" s="740"/>
      <c r="P1028" s="740"/>
      <c r="Q1028" s="740"/>
      <c r="R1028" s="740"/>
      <c r="S1028" s="740"/>
      <c r="T1028" s="740"/>
      <c r="U1028" s="740"/>
      <c r="V1028" s="740"/>
      <c r="W1028" s="740"/>
      <c r="X1028" s="740"/>
      <c r="Y1028" s="740"/>
      <c r="Z1028" s="740"/>
      <c r="AA1028" s="740"/>
      <c r="AB1028" s="740"/>
      <c r="AC1028" s="740"/>
      <c r="AD1028" s="740"/>
      <c r="AE1028" s="740"/>
      <c r="AF1028" s="740"/>
      <c r="AG1028" s="740"/>
      <c r="AH1028" s="740"/>
      <c r="AI1028" s="740"/>
      <c r="AJ1028" s="740"/>
      <c r="AK1028" s="740"/>
      <c r="AL1028" s="740"/>
      <c r="AM1028" s="740"/>
      <c r="AN1028" s="740"/>
      <c r="AO1028" s="740"/>
      <c r="AP1028" s="740"/>
      <c r="AQ1028" s="740"/>
      <c r="AR1028" s="740"/>
      <c r="AS1028" s="740"/>
      <c r="AT1028" s="740"/>
      <c r="AU1028" s="740"/>
      <c r="AV1028" s="740"/>
      <c r="AW1028" s="740"/>
      <c r="AX1028" s="740"/>
      <c r="AY1028" s="740"/>
      <c r="AZ1028" s="740"/>
      <c r="BA1028" s="740"/>
      <c r="BB1028" s="740"/>
      <c r="BC1028" s="740"/>
      <c r="BD1028" s="740"/>
      <c r="BE1028" s="740"/>
      <c r="BF1028" s="740"/>
      <c r="BG1028" s="740"/>
      <c r="BH1028" s="740"/>
      <c r="BI1028" s="740"/>
      <c r="BJ1028" s="740"/>
      <c r="BK1028" s="740"/>
      <c r="BL1028" s="740"/>
      <c r="BM1028" s="740"/>
      <c r="BN1028" s="740"/>
      <c r="BO1028" s="740"/>
      <c r="BP1028" s="740"/>
      <c r="BQ1028" s="740"/>
      <c r="BR1028" s="740"/>
      <c r="BS1028" s="740"/>
      <c r="BT1028" s="740"/>
      <c r="BU1028" s="740"/>
      <c r="BV1028" s="740"/>
      <c r="BW1028" s="740"/>
      <c r="BX1028" s="740"/>
      <c r="BY1028" s="740"/>
      <c r="BZ1028" s="740"/>
      <c r="CA1028" s="740"/>
      <c r="CB1028" s="740"/>
      <c r="CC1028" s="740"/>
      <c r="CD1028" s="740"/>
      <c r="CE1028" s="740"/>
      <c r="CF1028" s="740"/>
      <c r="CG1028" s="740"/>
      <c r="CH1028" s="740"/>
      <c r="CI1028" s="740"/>
      <c r="CJ1028" s="740"/>
      <c r="CK1028" s="740"/>
      <c r="CL1028" s="740"/>
      <c r="CM1028" s="740"/>
      <c r="CN1028" s="740"/>
      <c r="CO1028" s="740"/>
      <c r="CP1028" s="740"/>
      <c r="CQ1028" s="740"/>
      <c r="CR1028" s="740"/>
      <c r="CS1028" s="740"/>
      <c r="CT1028" s="740"/>
      <c r="CU1028" s="740"/>
      <c r="CV1028" s="740"/>
      <c r="CW1028" s="740"/>
      <c r="CX1028" s="740"/>
      <c r="CY1028" s="740"/>
      <c r="CZ1028" s="740"/>
      <c r="DA1028" s="740"/>
      <c r="DB1028" s="740"/>
      <c r="DC1028" s="740"/>
      <c r="DD1028" s="740"/>
      <c r="DE1028" s="740"/>
      <c r="DF1028" s="740"/>
      <c r="DG1028" s="740"/>
      <c r="DH1028" s="740"/>
      <c r="DI1028" s="740"/>
      <c r="DJ1028" s="740"/>
      <c r="DK1028" s="740"/>
      <c r="DL1028" s="740"/>
      <c r="DM1028" s="740"/>
      <c r="DN1028" s="740"/>
      <c r="DO1028" s="740"/>
      <c r="DP1028" s="740"/>
      <c r="DQ1028" s="740"/>
      <c r="DR1028" s="740"/>
      <c r="DS1028" s="740"/>
      <c r="DT1028" s="740"/>
      <c r="DU1028" s="740"/>
      <c r="DV1028" s="740"/>
      <c r="DW1028" s="740"/>
      <c r="DX1028" s="740"/>
      <c r="DY1028" s="740"/>
      <c r="DZ1028" s="740"/>
      <c r="EA1028" s="740"/>
      <c r="EB1028" s="740"/>
      <c r="EC1028" s="740"/>
      <c r="ED1028" s="740"/>
      <c r="EE1028" s="740"/>
      <c r="EF1028" s="740"/>
      <c r="EG1028" s="740"/>
      <c r="EH1028" s="740"/>
      <c r="EI1028" s="740"/>
      <c r="EJ1028" s="740"/>
      <c r="EK1028" s="740"/>
      <c r="EL1028" s="740"/>
      <c r="EM1028" s="740"/>
      <c r="EN1028" s="740"/>
      <c r="EO1028" s="740"/>
      <c r="EP1028" s="740"/>
      <c r="EQ1028" s="740"/>
      <c r="ER1028" s="740"/>
      <c r="ES1028" s="740"/>
      <c r="ET1028" s="740"/>
      <c r="EU1028" s="740"/>
      <c r="EV1028" s="740"/>
      <c r="EW1028" s="740"/>
      <c r="EX1028" s="740"/>
      <c r="EY1028" s="740"/>
      <c r="EZ1028" s="740"/>
      <c r="FA1028" s="740"/>
      <c r="FB1028" s="740"/>
      <c r="FC1028" s="740"/>
      <c r="FD1028" s="740"/>
      <c r="FE1028" s="740"/>
      <c r="FF1028" s="740"/>
      <c r="FG1028" s="740"/>
      <c r="FH1028" s="740"/>
      <c r="FI1028" s="740"/>
      <c r="FJ1028" s="740"/>
      <c r="FK1028" s="740"/>
      <c r="FL1028" s="740"/>
      <c r="FM1028" s="740"/>
      <c r="FN1028" s="740"/>
      <c r="FO1028" s="740"/>
      <c r="FP1028" s="740"/>
      <c r="FQ1028" s="740"/>
      <c r="FR1028" s="740"/>
      <c r="FS1028" s="740"/>
      <c r="FT1028" s="740"/>
      <c r="FU1028" s="740"/>
      <c r="FV1028" s="740"/>
      <c r="FW1028" s="740"/>
      <c r="FX1028" s="740"/>
      <c r="FY1028" s="740"/>
      <c r="FZ1028" s="740"/>
      <c r="GA1028" s="740"/>
      <c r="GB1028" s="740"/>
      <c r="GC1028" s="740"/>
      <c r="GD1028" s="740"/>
      <c r="GE1028" s="740"/>
      <c r="GF1028" s="740"/>
      <c r="GG1028" s="740"/>
      <c r="GH1028" s="740"/>
      <c r="GI1028" s="740"/>
      <c r="GJ1028" s="740"/>
      <c r="GK1028" s="740"/>
      <c r="GL1028" s="740"/>
      <c r="GM1028" s="740"/>
      <c r="GN1028" s="740"/>
      <c r="GO1028" s="740"/>
      <c r="GP1028" s="740"/>
      <c r="GQ1028" s="740"/>
      <c r="GR1028" s="740"/>
      <c r="GS1028" s="740"/>
      <c r="GT1028" s="740"/>
      <c r="GU1028" s="740"/>
      <c r="GV1028" s="740"/>
      <c r="GW1028" s="740"/>
      <c r="GX1028" s="740"/>
      <c r="GY1028" s="740"/>
      <c r="GZ1028" s="740"/>
      <c r="HA1028" s="740"/>
      <c r="HB1028" s="740"/>
      <c r="HC1028" s="740"/>
      <c r="HD1028" s="740"/>
      <c r="HE1028" s="740"/>
      <c r="HF1028" s="740"/>
      <c r="HG1028" s="740"/>
      <c r="HH1028" s="740"/>
      <c r="HI1028" s="740"/>
      <c r="HJ1028" s="740"/>
      <c r="HK1028" s="740"/>
      <c r="HL1028" s="740"/>
      <c r="HM1028" s="740"/>
      <c r="HN1028" s="740"/>
      <c r="HO1028" s="740"/>
      <c r="HP1028" s="740"/>
      <c r="HQ1028" s="740"/>
      <c r="HR1028" s="740"/>
      <c r="HS1028" s="740"/>
      <c r="HT1028" s="740"/>
      <c r="HU1028" s="740"/>
      <c r="HV1028" s="740"/>
      <c r="HW1028" s="740"/>
      <c r="HX1028" s="740"/>
      <c r="HY1028" s="740"/>
      <c r="HZ1028" s="740"/>
      <c r="IA1028" s="740"/>
      <c r="IB1028" s="740"/>
      <c r="IC1028" s="740"/>
      <c r="ID1028" s="740"/>
      <c r="IE1028" s="740"/>
      <c r="IF1028" s="740"/>
      <c r="IG1028" s="740"/>
      <c r="IH1028" s="740"/>
      <c r="II1028" s="740"/>
      <c r="IJ1028" s="740"/>
      <c r="IK1028" s="740"/>
      <c r="IL1028" s="740"/>
      <c r="IM1028" s="740"/>
      <c r="IN1028" s="740"/>
      <c r="IO1028" s="740"/>
      <c r="IP1028" s="740"/>
      <c r="IQ1028" s="740"/>
      <c r="IR1028" s="740"/>
      <c r="IS1028" s="740"/>
      <c r="IT1028" s="740"/>
      <c r="IU1028" s="740"/>
      <c r="IV1028" s="740"/>
      <c r="IW1028" s="740"/>
      <c r="IX1028" s="740"/>
      <c r="IY1028" s="740"/>
      <c r="IZ1028" s="740"/>
      <c r="JA1028" s="740"/>
      <c r="JB1028" s="740"/>
      <c r="JC1028" s="740"/>
      <c r="JD1028" s="740"/>
      <c r="JE1028" s="740"/>
      <c r="JF1028" s="740"/>
      <c r="JG1028" s="740"/>
      <c r="JH1028" s="740"/>
      <c r="JI1028" s="740"/>
      <c r="JJ1028" s="740"/>
      <c r="JK1028" s="740"/>
      <c r="JL1028" s="740"/>
      <c r="JM1028" s="740"/>
      <c r="JN1028" s="740"/>
      <c r="JO1028" s="740"/>
      <c r="JP1028" s="740"/>
      <c r="JQ1028" s="740"/>
      <c r="JR1028" s="740"/>
      <c r="JS1028" s="740"/>
      <c r="JT1028" s="740"/>
      <c r="JU1028" s="740"/>
      <c r="JV1028" s="740"/>
      <c r="JW1028" s="740"/>
      <c r="JX1028" s="740"/>
      <c r="JY1028" s="740"/>
      <c r="JZ1028" s="740"/>
      <c r="KA1028" s="740"/>
      <c r="KB1028" s="740"/>
      <c r="KC1028" s="740"/>
      <c r="KD1028" s="740"/>
      <c r="KE1028" s="740"/>
      <c r="KF1028" s="740"/>
      <c r="KG1028" s="740"/>
      <c r="KH1028" s="740"/>
      <c r="KI1028" s="740"/>
      <c r="KJ1028" s="740"/>
      <c r="KK1028" s="740"/>
      <c r="KL1028" s="740"/>
      <c r="KM1028" s="740"/>
      <c r="KN1028" s="740"/>
      <c r="KO1028" s="740"/>
      <c r="KP1028" s="740"/>
      <c r="KQ1028" s="740"/>
      <c r="KR1028" s="740"/>
      <c r="KS1028" s="740"/>
      <c r="KT1028" s="740"/>
      <c r="KU1028" s="740"/>
      <c r="KV1028" s="740"/>
      <c r="KW1028" s="740"/>
      <c r="KX1028" s="740"/>
      <c r="KY1028" s="740"/>
      <c r="KZ1028" s="740"/>
      <c r="LA1028" s="740"/>
      <c r="LB1028" s="740"/>
      <c r="LC1028" s="740"/>
      <c r="LD1028" s="740"/>
      <c r="LE1028" s="740"/>
      <c r="LF1028" s="740"/>
      <c r="LG1028" s="740"/>
      <c r="LH1028" s="740"/>
      <c r="LI1028" s="740"/>
      <c r="LJ1028" s="740"/>
      <c r="LK1028" s="740"/>
      <c r="LL1028" s="740"/>
      <c r="LM1028" s="740"/>
      <c r="LN1028" s="740"/>
      <c r="LO1028" s="740"/>
      <c r="LP1028" s="740"/>
      <c r="LQ1028" s="740"/>
      <c r="LR1028" s="740"/>
      <c r="LS1028" s="740"/>
      <c r="LT1028" s="740"/>
      <c r="LU1028" s="740"/>
      <c r="LV1028" s="740"/>
      <c r="LW1028" s="740"/>
      <c r="LX1028" s="740"/>
      <c r="LY1028" s="740"/>
      <c r="LZ1028" s="740"/>
      <c r="MA1028" s="740"/>
      <c r="MB1028" s="740"/>
      <c r="MC1028" s="740"/>
      <c r="MD1028" s="740"/>
      <c r="ME1028" s="740"/>
      <c r="MF1028" s="740"/>
      <c r="MG1028" s="740"/>
      <c r="MH1028" s="740"/>
      <c r="MI1028" s="740"/>
      <c r="MJ1028" s="740"/>
      <c r="MK1028" s="740"/>
      <c r="ML1028" s="740"/>
      <c r="MM1028" s="740"/>
      <c r="MN1028" s="740"/>
      <c r="MO1028" s="740"/>
      <c r="MP1028" s="740"/>
      <c r="MQ1028" s="740"/>
      <c r="MR1028" s="740"/>
      <c r="MS1028" s="740"/>
      <c r="MT1028" s="740"/>
      <c r="MU1028" s="740"/>
      <c r="MV1028" s="740"/>
      <c r="MW1028" s="740"/>
      <c r="MX1028" s="740"/>
      <c r="MY1028" s="740"/>
      <c r="MZ1028" s="740"/>
      <c r="NA1028" s="740"/>
      <c r="NB1028" s="740"/>
      <c r="NC1028" s="740"/>
      <c r="ND1028" s="740"/>
      <c r="NE1028" s="740"/>
      <c r="NF1028" s="740"/>
      <c r="NG1028" s="740"/>
      <c r="NH1028" s="740"/>
      <c r="NI1028" s="740"/>
      <c r="NJ1028" s="740"/>
      <c r="NK1028" s="740"/>
      <c r="NL1028" s="740"/>
      <c r="NM1028" s="740"/>
      <c r="NN1028" s="740"/>
      <c r="NO1028" s="740"/>
      <c r="NP1028" s="740"/>
      <c r="NQ1028" s="740"/>
      <c r="NR1028" s="740"/>
      <c r="NS1028" s="740"/>
      <c r="NT1028" s="740"/>
      <c r="NU1028" s="740"/>
      <c r="NV1028" s="740"/>
      <c r="NW1028" s="740"/>
      <c r="NX1028" s="740"/>
      <c r="NY1028" s="740"/>
      <c r="NZ1028" s="740"/>
      <c r="OA1028" s="740"/>
      <c r="OB1028" s="740"/>
      <c r="OC1028" s="740"/>
      <c r="OD1028" s="740"/>
      <c r="OE1028" s="740"/>
      <c r="OF1028" s="740"/>
      <c r="OG1028" s="740"/>
      <c r="OH1028" s="740"/>
      <c r="OI1028" s="740"/>
      <c r="OJ1028" s="740"/>
      <c r="OK1028" s="740"/>
      <c r="OL1028" s="740"/>
      <c r="OM1028" s="740"/>
      <c r="ON1028" s="740"/>
      <c r="OO1028" s="740"/>
      <c r="OP1028" s="740"/>
      <c r="OQ1028" s="740"/>
      <c r="OR1028" s="740"/>
      <c r="OS1028" s="740"/>
      <c r="OT1028" s="740"/>
      <c r="OU1028" s="740"/>
      <c r="OV1028" s="740"/>
      <c r="OW1028" s="740"/>
      <c r="OX1028" s="740"/>
      <c r="OY1028" s="740"/>
      <c r="OZ1028" s="740"/>
      <c r="PA1028" s="740"/>
      <c r="PB1028" s="740"/>
      <c r="PC1028" s="740"/>
      <c r="PD1028" s="740"/>
      <c r="PE1028" s="740"/>
      <c r="PF1028" s="740"/>
      <c r="PG1028" s="740"/>
      <c r="PH1028" s="740"/>
      <c r="PI1028" s="740"/>
      <c r="PJ1028" s="740"/>
      <c r="PK1028" s="740"/>
      <c r="PL1028" s="740"/>
      <c r="PM1028" s="740"/>
      <c r="PN1028" s="740"/>
      <c r="PO1028" s="740"/>
      <c r="PP1028" s="740"/>
      <c r="PQ1028" s="740"/>
      <c r="PR1028" s="740"/>
      <c r="PS1028" s="740"/>
      <c r="PT1028" s="740"/>
      <c r="PU1028" s="740"/>
      <c r="PV1028" s="740"/>
      <c r="PW1028" s="740"/>
      <c r="PX1028" s="740"/>
      <c r="PY1028" s="740"/>
      <c r="PZ1028" s="740"/>
      <c r="QA1028" s="740"/>
      <c r="QB1028" s="740"/>
      <c r="QC1028" s="740"/>
      <c r="QD1028" s="740"/>
      <c r="QE1028" s="740"/>
      <c r="QF1028" s="740"/>
      <c r="QG1028" s="740"/>
      <c r="QH1028" s="740"/>
      <c r="QI1028" s="740"/>
      <c r="QJ1028" s="740"/>
      <c r="QK1028" s="740"/>
      <c r="QL1028" s="740"/>
      <c r="QM1028" s="740"/>
      <c r="QN1028" s="740"/>
      <c r="QO1028" s="740"/>
      <c r="QP1028" s="740"/>
      <c r="QQ1028" s="740"/>
      <c r="QR1028" s="740"/>
      <c r="QS1028" s="740"/>
      <c r="QT1028" s="740"/>
      <c r="QU1028" s="740"/>
      <c r="QV1028" s="740"/>
      <c r="QW1028" s="740"/>
      <c r="QX1028" s="740"/>
      <c r="QY1028" s="740"/>
      <c r="QZ1028" s="740"/>
      <c r="RA1028" s="740"/>
      <c r="RB1028" s="740"/>
      <c r="RC1028" s="740"/>
      <c r="RD1028" s="740"/>
      <c r="RE1028" s="740"/>
      <c r="RF1028" s="740"/>
      <c r="RG1028" s="740"/>
      <c r="RH1028" s="740"/>
      <c r="RI1028" s="740"/>
      <c r="RJ1028" s="740"/>
      <c r="RK1028" s="740"/>
      <c r="RL1028" s="740"/>
      <c r="RM1028" s="740"/>
      <c r="RN1028" s="740"/>
      <c r="RO1028" s="740"/>
      <c r="RP1028" s="740"/>
      <c r="RQ1028" s="740"/>
      <c r="RR1028" s="740"/>
      <c r="RS1028" s="740"/>
      <c r="RT1028" s="740"/>
      <c r="RU1028" s="740"/>
      <c r="RV1028" s="740"/>
      <c r="RW1028" s="740"/>
      <c r="RX1028" s="740"/>
      <c r="RY1028" s="740"/>
      <c r="RZ1028" s="740"/>
      <c r="SA1028" s="740"/>
      <c r="SB1028" s="740"/>
      <c r="SC1028" s="740"/>
      <c r="SD1028" s="740"/>
      <c r="SE1028" s="740"/>
      <c r="SF1028" s="740"/>
      <c r="SG1028" s="740"/>
      <c r="SH1028" s="740"/>
      <c r="SI1028" s="740"/>
      <c r="SJ1028" s="740"/>
      <c r="SK1028" s="740"/>
      <c r="SL1028" s="740"/>
      <c r="SM1028" s="740"/>
      <c r="SN1028" s="740"/>
      <c r="SO1028" s="740"/>
      <c r="SP1028" s="740"/>
      <c r="SQ1028" s="740"/>
      <c r="SR1028" s="740"/>
      <c r="SS1028" s="740"/>
      <c r="ST1028" s="740"/>
      <c r="SU1028" s="740"/>
      <c r="SV1028" s="740"/>
      <c r="SW1028" s="740"/>
      <c r="SX1028" s="740"/>
      <c r="SY1028" s="740"/>
      <c r="SZ1028" s="740"/>
      <c r="TA1028" s="740"/>
      <c r="TB1028" s="740"/>
      <c r="TC1028" s="740"/>
      <c r="TD1028" s="740"/>
      <c r="TE1028" s="740"/>
      <c r="TF1028" s="740"/>
      <c r="TG1028" s="740"/>
      <c r="TH1028" s="740"/>
      <c r="TI1028" s="740"/>
      <c r="TJ1028" s="740"/>
      <c r="TK1028" s="740"/>
      <c r="TL1028" s="740"/>
      <c r="TM1028" s="740"/>
      <c r="TN1028" s="740"/>
      <c r="TO1028" s="740"/>
      <c r="TP1028" s="740"/>
      <c r="TQ1028" s="740"/>
      <c r="TR1028" s="740"/>
      <c r="TS1028" s="740"/>
      <c r="TT1028" s="740"/>
      <c r="TU1028" s="740"/>
      <c r="TV1028" s="740"/>
      <c r="TW1028" s="740"/>
      <c r="TX1028" s="740"/>
      <c r="TY1028" s="740"/>
      <c r="TZ1028" s="740"/>
      <c r="UA1028" s="740"/>
      <c r="UB1028" s="740"/>
      <c r="UC1028" s="740"/>
      <c r="UD1028" s="740"/>
      <c r="UE1028" s="740"/>
      <c r="UF1028" s="740"/>
      <c r="UG1028" s="740"/>
      <c r="UH1028" s="740"/>
      <c r="UI1028" s="740"/>
      <c r="UJ1028" s="740"/>
      <c r="UK1028" s="740"/>
      <c r="UL1028" s="740"/>
      <c r="UM1028" s="740"/>
      <c r="UN1028" s="740"/>
      <c r="UO1028" s="740"/>
      <c r="UP1028" s="740"/>
      <c r="UQ1028" s="740"/>
      <c r="UR1028" s="740"/>
      <c r="US1028" s="740"/>
      <c r="UT1028" s="740"/>
      <c r="UU1028" s="740"/>
      <c r="UV1028" s="740"/>
      <c r="UW1028" s="740"/>
      <c r="UX1028" s="740"/>
      <c r="UY1028" s="740"/>
      <c r="UZ1028" s="740"/>
      <c r="VA1028" s="740"/>
      <c r="VB1028" s="740"/>
      <c r="VC1028" s="740"/>
      <c r="VD1028" s="740"/>
      <c r="VE1028" s="740"/>
      <c r="VF1028" s="740"/>
      <c r="VG1028" s="740"/>
      <c r="VH1028" s="740"/>
      <c r="VI1028" s="740"/>
      <c r="VJ1028" s="740"/>
      <c r="VK1028" s="740"/>
      <c r="VL1028" s="740"/>
      <c r="VM1028" s="740"/>
      <c r="VN1028" s="740"/>
      <c r="VO1028" s="740"/>
      <c r="VP1028" s="740"/>
      <c r="VQ1028" s="740"/>
      <c r="VR1028" s="740"/>
      <c r="VS1028" s="740"/>
      <c r="VT1028" s="740"/>
      <c r="VU1028" s="740"/>
      <c r="VV1028" s="740"/>
      <c r="VW1028" s="740"/>
      <c r="VX1028" s="740"/>
      <c r="VY1028" s="740"/>
      <c r="VZ1028" s="740"/>
      <c r="WA1028" s="740"/>
      <c r="WB1028" s="740"/>
      <c r="WC1028" s="740"/>
      <c r="WD1028" s="740"/>
      <c r="WE1028" s="740"/>
      <c r="WF1028" s="740"/>
      <c r="WG1028" s="740"/>
      <c r="WH1028" s="740"/>
      <c r="WI1028" s="740"/>
      <c r="WJ1028" s="740"/>
      <c r="WK1028" s="740"/>
      <c r="WL1028" s="740"/>
      <c r="WM1028" s="740"/>
      <c r="WN1028" s="740"/>
      <c r="WO1028" s="740"/>
      <c r="WP1028" s="740"/>
      <c r="WQ1028" s="740"/>
      <c r="WR1028" s="740"/>
      <c r="WS1028" s="740"/>
      <c r="WT1028" s="740"/>
      <c r="WU1028" s="740"/>
      <c r="WV1028" s="740"/>
      <c r="WW1028" s="740"/>
      <c r="WX1028" s="740"/>
      <c r="WY1028" s="740"/>
      <c r="WZ1028" s="740"/>
      <c r="XA1028" s="740"/>
      <c r="XB1028" s="740"/>
      <c r="XC1028" s="740"/>
      <c r="XD1028" s="740"/>
      <c r="XE1028" s="740"/>
      <c r="XF1028" s="740"/>
      <c r="XG1028" s="740"/>
      <c r="XH1028" s="740"/>
      <c r="XI1028" s="740"/>
      <c r="XJ1028" s="740"/>
      <c r="XK1028" s="740"/>
      <c r="XL1028" s="740"/>
      <c r="XM1028" s="740"/>
      <c r="XN1028" s="740"/>
      <c r="XO1028" s="740"/>
      <c r="XP1028" s="740"/>
      <c r="XQ1028" s="740"/>
      <c r="XR1028" s="740"/>
      <c r="XS1028" s="740"/>
      <c r="XT1028" s="740"/>
      <c r="XU1028" s="740"/>
      <c r="XV1028" s="740"/>
      <c r="XW1028" s="740"/>
      <c r="XX1028" s="740"/>
      <c r="XY1028" s="740"/>
      <c r="XZ1028" s="740"/>
      <c r="YA1028" s="740"/>
      <c r="YB1028" s="740"/>
      <c r="YC1028" s="740"/>
      <c r="YD1028" s="740"/>
      <c r="YE1028" s="740"/>
      <c r="YF1028" s="740"/>
      <c r="YG1028" s="740"/>
      <c r="YH1028" s="740"/>
      <c r="YI1028" s="740"/>
      <c r="YJ1028" s="740"/>
      <c r="YK1028" s="740"/>
      <c r="YL1028" s="740"/>
      <c r="YM1028" s="740"/>
      <c r="YN1028" s="740"/>
      <c r="YO1028" s="740"/>
      <c r="YP1028" s="740"/>
      <c r="YQ1028" s="740"/>
      <c r="YR1028" s="740"/>
      <c r="YS1028" s="740"/>
      <c r="YT1028" s="740"/>
      <c r="YU1028" s="740"/>
      <c r="YV1028" s="740"/>
      <c r="YW1028" s="740"/>
      <c r="YX1028" s="740"/>
      <c r="YY1028" s="740"/>
      <c r="YZ1028" s="740"/>
      <c r="ZA1028" s="740"/>
      <c r="ZB1028" s="740"/>
      <c r="ZC1028" s="740"/>
      <c r="ZD1028" s="740"/>
      <c r="ZE1028" s="740"/>
      <c r="ZF1028" s="740"/>
      <c r="ZG1028" s="740"/>
      <c r="ZH1028" s="740"/>
      <c r="ZI1028" s="740"/>
      <c r="ZJ1028" s="740"/>
      <c r="ZK1028" s="740"/>
      <c r="ZL1028" s="740"/>
      <c r="ZM1028" s="740"/>
      <c r="ZN1028" s="740"/>
      <c r="ZO1028" s="740"/>
      <c r="ZP1028" s="740"/>
      <c r="ZQ1028" s="740"/>
      <c r="ZR1028" s="740"/>
      <c r="ZS1028" s="740"/>
      <c r="ZT1028" s="740"/>
      <c r="ZU1028" s="740"/>
      <c r="ZV1028" s="740"/>
      <c r="ZW1028" s="740"/>
      <c r="ZX1028" s="740"/>
      <c r="ZY1028" s="740"/>
      <c r="ZZ1028" s="740"/>
      <c r="AAA1028" s="740"/>
      <c r="AAB1028" s="740"/>
      <c r="AAC1028" s="740"/>
      <c r="AAD1028" s="740"/>
      <c r="AAE1028" s="740"/>
      <c r="AAF1028" s="740"/>
      <c r="AAG1028" s="740"/>
      <c r="AAH1028" s="740"/>
      <c r="AAI1028" s="740"/>
      <c r="AAJ1028" s="740"/>
      <c r="AAK1028" s="740"/>
      <c r="AAL1028" s="740"/>
      <c r="AAM1028" s="740"/>
      <c r="AAN1028" s="740"/>
      <c r="AAO1028" s="740"/>
      <c r="AAP1028" s="740"/>
      <c r="AAQ1028" s="740"/>
      <c r="AAR1028" s="740"/>
      <c r="AAS1028" s="740"/>
      <c r="AAT1028" s="740"/>
      <c r="AAU1028" s="740"/>
      <c r="AAV1028" s="740"/>
      <c r="AAW1028" s="740"/>
      <c r="AAX1028" s="740"/>
      <c r="AAY1028" s="740"/>
      <c r="AAZ1028" s="740"/>
      <c r="ABA1028" s="740"/>
      <c r="ABB1028" s="740"/>
      <c r="ABC1028" s="740"/>
      <c r="ABD1028" s="740"/>
      <c r="ABE1028" s="740"/>
      <c r="ABF1028" s="740"/>
      <c r="ABG1028" s="740"/>
      <c r="ABH1028" s="740"/>
      <c r="ABI1028" s="740"/>
      <c r="ABJ1028" s="740"/>
      <c r="ABK1028" s="740"/>
      <c r="ABL1028" s="740"/>
      <c r="ABM1028" s="740"/>
      <c r="ABN1028" s="740"/>
      <c r="ABO1028" s="740"/>
      <c r="ABP1028" s="740"/>
      <c r="ABQ1028" s="740"/>
      <c r="ABR1028" s="740"/>
      <c r="ABS1028" s="740"/>
      <c r="ABT1028" s="740"/>
      <c r="ABU1028" s="740"/>
      <c r="ABV1028" s="740"/>
      <c r="ABW1028" s="740"/>
      <c r="ABX1028" s="740"/>
      <c r="ABY1028" s="740"/>
      <c r="ABZ1028" s="740"/>
      <c r="ACA1028" s="740"/>
      <c r="ACB1028" s="740"/>
      <c r="ACC1028" s="740"/>
      <c r="ACD1028" s="740"/>
      <c r="ACE1028" s="740"/>
      <c r="ACF1028" s="740"/>
      <c r="ACG1028" s="740"/>
      <c r="ACH1028" s="740"/>
      <c r="ACI1028" s="740"/>
      <c r="ACJ1028" s="740"/>
      <c r="ACK1028" s="740"/>
      <c r="ACL1028" s="740"/>
      <c r="ACM1028" s="740"/>
      <c r="ACN1028" s="740"/>
      <c r="ACO1028" s="740"/>
      <c r="ACP1028" s="740"/>
      <c r="ACQ1028" s="740"/>
      <c r="ACR1028" s="740"/>
      <c r="ACS1028" s="740"/>
      <c r="ACT1028" s="740"/>
      <c r="ACU1028" s="740"/>
      <c r="ACV1028" s="740"/>
      <c r="ACW1028" s="740"/>
      <c r="ACX1028" s="740"/>
      <c r="ACY1028" s="740"/>
      <c r="ACZ1028" s="740"/>
      <c r="ADA1028" s="740"/>
      <c r="ADB1028" s="740"/>
      <c r="ADC1028" s="740"/>
      <c r="ADD1028" s="740"/>
      <c r="ADE1028" s="740"/>
      <c r="ADF1028" s="740"/>
      <c r="ADG1028" s="740"/>
      <c r="ADH1028" s="740"/>
      <c r="ADI1028" s="740"/>
      <c r="ADJ1028" s="740"/>
      <c r="ADK1028" s="740"/>
      <c r="ADL1028" s="740"/>
      <c r="ADM1028" s="740"/>
      <c r="ADN1028" s="740"/>
      <c r="ADO1028" s="740"/>
      <c r="ADP1028" s="740"/>
      <c r="ADQ1028" s="740"/>
      <c r="ADR1028" s="740"/>
      <c r="ADS1028" s="740"/>
      <c r="ADT1028" s="740"/>
      <c r="ADU1028" s="740"/>
      <c r="ADV1028" s="740"/>
      <c r="ADW1028" s="740"/>
      <c r="ADX1028" s="740"/>
      <c r="ADY1028" s="740"/>
      <c r="ADZ1028" s="740"/>
      <c r="AEA1028" s="740"/>
      <c r="AEB1028" s="740"/>
      <c r="AEC1028" s="740"/>
      <c r="AED1028" s="740"/>
      <c r="AEE1028" s="740"/>
      <c r="AEF1028" s="740"/>
      <c r="AEG1028" s="740"/>
      <c r="AEH1028" s="740"/>
      <c r="AEI1028" s="740"/>
      <c r="AEJ1028" s="740"/>
      <c r="AEK1028" s="740"/>
      <c r="AEL1028" s="740"/>
      <c r="AEM1028" s="740"/>
      <c r="AEN1028" s="740"/>
      <c r="AEO1028" s="740"/>
      <c r="AEP1028" s="740"/>
      <c r="AEQ1028" s="740"/>
      <c r="AER1028" s="740"/>
      <c r="AES1028" s="740"/>
      <c r="AET1028" s="740"/>
      <c r="AEU1028" s="740"/>
      <c r="AEV1028" s="740"/>
      <c r="AEW1028" s="740"/>
      <c r="AEX1028" s="740"/>
      <c r="AEY1028" s="740"/>
      <c r="AEZ1028" s="740"/>
      <c r="AFA1028" s="740"/>
      <c r="AFB1028" s="740"/>
      <c r="AFC1028" s="740"/>
      <c r="AFD1028" s="740"/>
      <c r="AFE1028" s="740"/>
      <c r="AFF1028" s="740"/>
      <c r="AFG1028" s="740"/>
      <c r="AFH1028" s="740"/>
      <c r="AFI1028" s="740"/>
      <c r="AFJ1028" s="740"/>
      <c r="AFK1028" s="740"/>
      <c r="AFL1028" s="740"/>
      <c r="AFM1028" s="740"/>
      <c r="AFN1028" s="740"/>
      <c r="AFO1028" s="740"/>
      <c r="AFP1028" s="740"/>
      <c r="AFQ1028" s="740"/>
      <c r="AFR1028" s="740"/>
      <c r="AFS1028" s="740"/>
      <c r="AFT1028" s="740"/>
      <c r="AFU1028" s="740"/>
      <c r="AFV1028" s="740"/>
      <c r="AFW1028" s="740"/>
      <c r="AFX1028" s="740"/>
      <c r="AFY1028" s="740"/>
      <c r="AFZ1028" s="740"/>
      <c r="AGA1028" s="740"/>
      <c r="AGB1028" s="740"/>
      <c r="AGC1028" s="740"/>
      <c r="AGD1028" s="740"/>
      <c r="AGE1028" s="740"/>
      <c r="AGF1028" s="740"/>
      <c r="AGG1028" s="740"/>
      <c r="AGH1028" s="740"/>
      <c r="AGI1028" s="740"/>
      <c r="AGJ1028" s="740"/>
      <c r="AGK1028" s="740"/>
      <c r="AGL1028" s="740"/>
      <c r="AGM1028" s="740"/>
      <c r="AGN1028" s="740"/>
      <c r="AGO1028" s="740"/>
      <c r="AGP1028" s="740"/>
      <c r="AGQ1028" s="740"/>
      <c r="AGR1028" s="740"/>
      <c r="AGS1028" s="740"/>
      <c r="AGT1028" s="740"/>
      <c r="AGU1028" s="740"/>
      <c r="AGV1028" s="740"/>
      <c r="AGW1028" s="740"/>
      <c r="AGX1028" s="740"/>
      <c r="AGY1028" s="740"/>
      <c r="AGZ1028" s="740"/>
      <c r="AHA1028" s="740"/>
      <c r="AHB1028" s="740"/>
      <c r="AHC1028" s="740"/>
      <c r="AHD1028" s="740"/>
      <c r="AHE1028" s="740"/>
      <c r="AHF1028" s="740"/>
      <c r="AHG1028" s="740"/>
      <c r="AHH1028" s="740"/>
      <c r="AHI1028" s="740"/>
      <c r="AHJ1028" s="740"/>
      <c r="AHK1028" s="740"/>
      <c r="AHL1028" s="740"/>
      <c r="AHM1028" s="740"/>
      <c r="AHN1028" s="740"/>
      <c r="AHO1028" s="740"/>
      <c r="AHP1028" s="740"/>
      <c r="AHQ1028" s="740"/>
      <c r="AHR1028" s="740"/>
      <c r="AHS1028" s="740"/>
      <c r="AHT1028" s="740"/>
      <c r="AHU1028" s="740"/>
      <c r="AHV1028" s="740"/>
      <c r="AHW1028" s="740"/>
      <c r="AHX1028" s="740"/>
      <c r="AHY1028" s="740"/>
      <c r="AHZ1028" s="740"/>
      <c r="AIA1028" s="740"/>
      <c r="AIB1028" s="740"/>
      <c r="AIC1028" s="740"/>
      <c r="AID1028" s="740"/>
      <c r="AIE1028" s="740"/>
      <c r="AIF1028" s="740"/>
      <c r="AIG1028" s="740"/>
      <c r="AIH1028" s="740"/>
      <c r="AII1028" s="740"/>
      <c r="AIJ1028" s="740"/>
      <c r="AIK1028" s="740"/>
      <c r="AIL1028" s="740"/>
      <c r="AIM1028" s="740"/>
      <c r="AIN1028" s="740"/>
      <c r="AIO1028" s="740"/>
      <c r="AIP1028" s="740"/>
      <c r="AIQ1028" s="740"/>
      <c r="AIR1028" s="740"/>
      <c r="AIS1028" s="740"/>
      <c r="AIT1028" s="740"/>
      <c r="AIU1028" s="740"/>
      <c r="AIV1028" s="740"/>
      <c r="AIW1028" s="740"/>
      <c r="AIX1028" s="740"/>
      <c r="AIY1028" s="740"/>
      <c r="AIZ1028" s="740"/>
      <c r="AJA1028" s="740"/>
      <c r="AJB1028" s="740"/>
      <c r="AJC1028" s="740"/>
      <c r="AJD1028" s="740"/>
      <c r="AJE1028" s="740"/>
      <c r="AJF1028" s="740"/>
      <c r="AJG1028" s="740"/>
      <c r="AJH1028" s="740"/>
      <c r="AJI1028" s="740"/>
      <c r="AJJ1028" s="740"/>
      <c r="AJK1028" s="740"/>
      <c r="AJL1028" s="740"/>
      <c r="AJM1028" s="740"/>
      <c r="AJN1028" s="740"/>
      <c r="AJO1028" s="740"/>
      <c r="AJP1028" s="740"/>
      <c r="AJQ1028" s="740"/>
      <c r="AJR1028" s="740"/>
      <c r="AJS1028" s="740"/>
      <c r="AJT1028" s="740"/>
      <c r="AJU1028" s="740"/>
      <c r="AJV1028" s="740"/>
      <c r="AJW1028" s="740"/>
      <c r="AJX1028" s="740"/>
      <c r="AJY1028" s="740"/>
      <c r="AJZ1028" s="740"/>
      <c r="AKA1028" s="740"/>
      <c r="AKB1028" s="740"/>
      <c r="AKC1028" s="740"/>
      <c r="AKD1028" s="740"/>
      <c r="AKE1028" s="740"/>
      <c r="AKF1028" s="740"/>
      <c r="AKG1028" s="740"/>
      <c r="AKH1028" s="740"/>
      <c r="AKI1028" s="740"/>
      <c r="AKJ1028" s="740"/>
      <c r="AKK1028" s="740"/>
      <c r="AKL1028" s="740"/>
      <c r="AKM1028" s="740"/>
      <c r="AKN1028" s="740"/>
      <c r="AKO1028" s="740"/>
      <c r="AKP1028" s="740"/>
      <c r="AKQ1028" s="740"/>
      <c r="AKR1028" s="740"/>
      <c r="AKS1028" s="740"/>
      <c r="AKT1028" s="740"/>
      <c r="AKU1028" s="740"/>
      <c r="AKV1028" s="740"/>
      <c r="AKW1028" s="740"/>
      <c r="AKX1028" s="740"/>
      <c r="AKY1028" s="740"/>
      <c r="AKZ1028" s="740"/>
      <c r="ALA1028" s="740"/>
      <c r="ALB1028" s="740"/>
      <c r="ALC1028" s="740"/>
      <c r="ALD1028" s="740"/>
      <c r="ALE1028" s="740"/>
      <c r="ALF1028" s="740"/>
      <c r="ALG1028" s="740"/>
      <c r="ALH1028" s="740"/>
      <c r="ALI1028" s="740"/>
      <c r="ALJ1028" s="740"/>
      <c r="ALK1028" s="740"/>
      <c r="ALL1028" s="740"/>
      <c r="ALM1028" s="740"/>
      <c r="ALN1028" s="740"/>
      <c r="ALO1028" s="740"/>
      <c r="ALP1028" s="740"/>
      <c r="ALQ1028" s="740"/>
      <c r="ALR1028" s="740"/>
      <c r="ALS1028" s="740"/>
      <c r="ALT1028" s="740"/>
      <c r="ALU1028" s="740"/>
      <c r="ALV1028" s="740"/>
      <c r="ALW1028" s="740"/>
      <c r="ALX1028" s="740"/>
      <c r="ALY1028" s="740"/>
      <c r="ALZ1028" s="740"/>
      <c r="AMA1028" s="740"/>
      <c r="AMB1028" s="740"/>
      <c r="AMC1028" s="740"/>
      <c r="AMD1028" s="740"/>
      <c r="AME1028" s="740"/>
      <c r="AMF1028" s="740"/>
      <c r="AMG1028" s="740"/>
      <c r="AMH1028" s="740"/>
      <c r="AMI1028" s="740"/>
      <c r="AMJ1028" s="740"/>
      <c r="AMK1028" s="740"/>
    </row>
    <row r="1029" spans="1:1025" s="581" customFormat="1" ht="31.5">
      <c r="B1029" s="741" t="s">
        <v>1187</v>
      </c>
      <c r="C1029" s="741" t="s">
        <v>1178</v>
      </c>
      <c r="D1029" s="741" t="s">
        <v>1188</v>
      </c>
      <c r="E1029" s="741" t="s">
        <v>1189</v>
      </c>
      <c r="F1029" s="741" t="s">
        <v>1190</v>
      </c>
      <c r="G1029" s="741" t="s">
        <v>1191</v>
      </c>
      <c r="H1029" s="741" t="s">
        <v>1192</v>
      </c>
      <c r="I1029" s="741" t="s">
        <v>1179</v>
      </c>
      <c r="J1029" s="741" t="s">
        <v>1193</v>
      </c>
      <c r="K1029" s="741" t="s">
        <v>1220</v>
      </c>
    </row>
    <row r="1030" spans="1:1025" s="581" customFormat="1">
      <c r="B1030" s="742" t="s">
        <v>1399</v>
      </c>
      <c r="C1030" s="743" t="s">
        <v>1195</v>
      </c>
      <c r="D1030" s="744" t="s">
        <v>1400</v>
      </c>
      <c r="E1030" s="745">
        <v>0.9</v>
      </c>
      <c r="F1030" s="745">
        <v>1</v>
      </c>
      <c r="G1030" s="745">
        <v>6.72</v>
      </c>
      <c r="H1030" s="745">
        <v>0</v>
      </c>
      <c r="I1030" s="745">
        <v>17.29</v>
      </c>
      <c r="J1030" s="745" t="s">
        <v>1223</v>
      </c>
      <c r="K1030" s="745">
        <f>E1030*I1030</f>
        <v>15.561</v>
      </c>
    </row>
    <row r="1031" spans="1:1025" s="581" customFormat="1">
      <c r="B1031" s="742" t="s">
        <v>1401</v>
      </c>
      <c r="C1031" s="743" t="s">
        <v>1195</v>
      </c>
      <c r="D1031" s="744" t="s">
        <v>1402</v>
      </c>
      <c r="E1031" s="745">
        <v>0.9</v>
      </c>
      <c r="F1031" s="745">
        <v>1</v>
      </c>
      <c r="G1031" s="745">
        <v>4.9400000000000004</v>
      </c>
      <c r="H1031" s="745">
        <v>0</v>
      </c>
      <c r="I1031" s="745">
        <v>12.71</v>
      </c>
      <c r="J1031" s="745" t="s">
        <v>1223</v>
      </c>
      <c r="K1031" s="745">
        <f>E1031*I1031</f>
        <v>11.439000000000002</v>
      </c>
    </row>
    <row r="1032" spans="1:1025" s="581" customFormat="1" ht="15" customHeight="1">
      <c r="B1032" s="1150" t="s">
        <v>1196</v>
      </c>
      <c r="C1032" s="1150"/>
      <c r="D1032" s="1150"/>
      <c r="E1032" s="1150"/>
      <c r="F1032" s="1150"/>
      <c r="G1032" s="1150"/>
      <c r="H1032" s="1150"/>
      <c r="I1032" s="1150"/>
      <c r="J1032" s="1150"/>
      <c r="K1032" s="746">
        <f>SUM(K1030:K1031)</f>
        <v>27</v>
      </c>
    </row>
    <row r="1033" spans="1:1025" s="581" customFormat="1">
      <c r="B1033" s="1151"/>
      <c r="C1033" s="1151"/>
      <c r="D1033" s="1151"/>
      <c r="E1033" s="1151"/>
      <c r="F1033" s="1151"/>
      <c r="G1033" s="1151"/>
      <c r="H1033" s="1151"/>
      <c r="I1033" s="1151"/>
      <c r="J1033" s="1151"/>
      <c r="K1033" s="1151"/>
    </row>
    <row r="1034" spans="1:1025" s="581" customFormat="1" ht="31.5">
      <c r="B1034" s="741" t="s">
        <v>1197</v>
      </c>
      <c r="C1034" s="741" t="s">
        <v>1178</v>
      </c>
      <c r="D1034" s="741" t="s">
        <v>1188</v>
      </c>
      <c r="E1034" s="741" t="s">
        <v>1189</v>
      </c>
      <c r="F1034" s="741" t="s">
        <v>1190</v>
      </c>
      <c r="G1034" s="741" t="s">
        <v>1191</v>
      </c>
      <c r="H1034" s="741" t="s">
        <v>1192</v>
      </c>
      <c r="I1034" s="741" t="s">
        <v>1179</v>
      </c>
      <c r="J1034" s="741" t="s">
        <v>1193</v>
      </c>
      <c r="K1034" s="741" t="s">
        <v>1220</v>
      </c>
    </row>
    <row r="1035" spans="1:1025" s="581" customFormat="1" ht="30">
      <c r="B1035" s="742" t="s">
        <v>1403</v>
      </c>
      <c r="C1035" s="743" t="s">
        <v>99</v>
      </c>
      <c r="D1035" s="744" t="s">
        <v>1404</v>
      </c>
      <c r="E1035" s="747">
        <v>0.108</v>
      </c>
      <c r="F1035" s="745">
        <v>1</v>
      </c>
      <c r="G1035" s="745">
        <v>9.89</v>
      </c>
      <c r="H1035" s="745">
        <v>0</v>
      </c>
      <c r="I1035" s="745">
        <f>G1035</f>
        <v>9.89</v>
      </c>
      <c r="J1035" s="745" t="s">
        <v>1223</v>
      </c>
      <c r="K1035" s="745">
        <f>E1035*I1035</f>
        <v>1.06812</v>
      </c>
    </row>
    <row r="1036" spans="1:1025" s="581" customFormat="1" ht="75">
      <c r="B1036" s="742" t="s">
        <v>1405</v>
      </c>
      <c r="C1036" s="743" t="s">
        <v>99</v>
      </c>
      <c r="D1036" s="744" t="s">
        <v>1406</v>
      </c>
      <c r="E1036" s="745">
        <v>8</v>
      </c>
      <c r="F1036" s="745">
        <v>1</v>
      </c>
      <c r="G1036" s="745">
        <v>1.52</v>
      </c>
      <c r="H1036" s="745">
        <v>0</v>
      </c>
      <c r="I1036" s="745">
        <f>G1036</f>
        <v>1.52</v>
      </c>
      <c r="J1036" s="745" t="s">
        <v>1223</v>
      </c>
      <c r="K1036" s="745">
        <f>E1036*I1036</f>
        <v>12.16</v>
      </c>
    </row>
    <row r="1037" spans="1:1025" s="581" customFormat="1" ht="30">
      <c r="B1037" s="742" t="s">
        <v>1407</v>
      </c>
      <c r="C1037" s="743" t="s">
        <v>27</v>
      </c>
      <c r="D1037" s="744" t="s">
        <v>1408</v>
      </c>
      <c r="E1037" s="745">
        <v>1.05</v>
      </c>
      <c r="F1037" s="745">
        <v>1</v>
      </c>
      <c r="G1037" s="745">
        <v>38.9</v>
      </c>
      <c r="H1037" s="745">
        <v>0</v>
      </c>
      <c r="I1037" s="745">
        <f>G1037</f>
        <v>38.9</v>
      </c>
      <c r="J1037" s="745" t="s">
        <v>1223</v>
      </c>
      <c r="K1037" s="745">
        <f>E1037*I1037</f>
        <v>40.844999999999999</v>
      </c>
    </row>
    <row r="1038" spans="1:1025" s="581" customFormat="1" ht="15" customHeight="1">
      <c r="B1038" s="1150" t="s">
        <v>1196</v>
      </c>
      <c r="C1038" s="1150"/>
      <c r="D1038" s="1150"/>
      <c r="E1038" s="1150"/>
      <c r="F1038" s="1150"/>
      <c r="G1038" s="1150"/>
      <c r="H1038" s="1150"/>
      <c r="I1038" s="1150"/>
      <c r="J1038" s="1150"/>
      <c r="K1038" s="746">
        <f>SUM(K1035:K1037)</f>
        <v>54.073120000000003</v>
      </c>
    </row>
    <row r="1039" spans="1:1025" s="581" customFormat="1">
      <c r="B1039" s="1151"/>
      <c r="C1039" s="1151"/>
      <c r="D1039" s="1151"/>
      <c r="E1039" s="1151"/>
      <c r="F1039" s="1151"/>
      <c r="G1039" s="1151"/>
      <c r="H1039" s="1151"/>
      <c r="I1039" s="1151"/>
      <c r="J1039" s="1151"/>
      <c r="K1039" s="1151"/>
    </row>
    <row r="1040" spans="1:1025" s="581" customFormat="1" ht="15" customHeight="1">
      <c r="B1040" s="1148" t="s">
        <v>1201</v>
      </c>
      <c r="C1040" s="1148"/>
      <c r="D1040" s="1148"/>
      <c r="E1040" s="1148"/>
      <c r="F1040" s="1148"/>
    </row>
    <row r="1041" spans="2:10" s="581" customFormat="1" ht="15" customHeight="1">
      <c r="B1041" s="1152" t="s">
        <v>1202</v>
      </c>
      <c r="C1041" s="1152"/>
      <c r="D1041" s="1152"/>
      <c r="E1041" s="748" t="s">
        <v>1203</v>
      </c>
      <c r="F1041" s="748" t="s">
        <v>1204</v>
      </c>
    </row>
    <row r="1042" spans="2:10" s="581" customFormat="1" ht="15" customHeight="1">
      <c r="B1042" s="1153" t="s">
        <v>1205</v>
      </c>
      <c r="C1042" s="1153"/>
      <c r="D1042" s="1153"/>
      <c r="E1042" s="1184">
        <v>128.33000000000001</v>
      </c>
      <c r="F1042" s="749">
        <f>K1032</f>
        <v>27</v>
      </c>
    </row>
    <row r="1043" spans="2:10" s="581" customFormat="1" ht="15" customHeight="1">
      <c r="B1043" s="1153" t="s">
        <v>1206</v>
      </c>
      <c r="C1043" s="1153"/>
      <c r="D1043" s="1153"/>
      <c r="E1043" s="1184"/>
      <c r="F1043" s="749">
        <f>K1038</f>
        <v>54.073120000000003</v>
      </c>
    </row>
    <row r="1044" spans="2:10" s="581" customFormat="1" ht="15" customHeight="1">
      <c r="B1044" s="1153" t="s">
        <v>1207</v>
      </c>
      <c r="C1044" s="1153"/>
      <c r="D1044" s="1153"/>
      <c r="E1044" s="1184"/>
      <c r="F1044" s="749">
        <v>0</v>
      </c>
    </row>
    <row r="1045" spans="2:10" s="581" customFormat="1" ht="15" customHeight="1">
      <c r="B1045" s="1153" t="s">
        <v>1208</v>
      </c>
      <c r="C1045" s="1153"/>
      <c r="D1045" s="1153"/>
      <c r="E1045" s="1184"/>
      <c r="F1045" s="749">
        <v>1</v>
      </c>
    </row>
    <row r="1046" spans="2:10" s="581" customFormat="1" ht="15" customHeight="1">
      <c r="B1046" s="1153" t="s">
        <v>1209</v>
      </c>
      <c r="C1046" s="1153"/>
      <c r="D1046" s="1153"/>
      <c r="E1046" s="1184"/>
      <c r="F1046" s="749">
        <f>F1042+F1044</f>
        <v>27</v>
      </c>
    </row>
    <row r="1047" spans="2:10" s="581" customFormat="1" ht="15" customHeight="1">
      <c r="B1047" s="1153" t="s">
        <v>1210</v>
      </c>
      <c r="C1047" s="1153"/>
      <c r="D1047" s="1153"/>
      <c r="E1047" s="1184"/>
      <c r="F1047" s="749">
        <f>((F1042/F1045)+(F1044/F1045))</f>
        <v>27</v>
      </c>
    </row>
    <row r="1048" spans="2:10" s="581" customFormat="1" ht="15" customHeight="1">
      <c r="B1048" s="1153" t="s">
        <v>1211</v>
      </c>
      <c r="C1048" s="1153"/>
      <c r="D1048" s="1153"/>
      <c r="E1048" s="1184"/>
      <c r="F1048" s="749">
        <f>F1043+F1047</f>
        <v>81.073120000000003</v>
      </c>
    </row>
    <row r="1049" spans="2:10" s="581" customFormat="1" ht="15" customHeight="1">
      <c r="B1049" s="1153" t="s">
        <v>1212</v>
      </c>
      <c r="C1049" s="1153"/>
      <c r="D1049" s="1153"/>
      <c r="E1049" s="1184"/>
      <c r="F1049" s="749">
        <f>F1048*(E1049/100)</f>
        <v>0</v>
      </c>
      <c r="G1049" s="750"/>
    </row>
    <row r="1050" spans="2:10" s="581" customFormat="1" ht="15" customHeight="1">
      <c r="B1050" s="1154" t="s">
        <v>1213</v>
      </c>
      <c r="C1050" s="1154"/>
      <c r="D1050" s="1154"/>
      <c r="E1050" s="1184"/>
      <c r="F1050" s="746">
        <f>F1048+F1049</f>
        <v>81.073120000000003</v>
      </c>
    </row>
    <row r="1054" spans="2:10" s="577" customFormat="1">
      <c r="B1054" s="578" t="s">
        <v>1409</v>
      </c>
      <c r="C1054" s="582"/>
      <c r="D1054" s="582"/>
      <c r="E1054" s="582"/>
      <c r="F1054" s="582"/>
      <c r="G1054" s="582"/>
      <c r="I1054" s="578" t="s">
        <v>1261</v>
      </c>
      <c r="J1054" s="582"/>
    </row>
    <row r="1055" spans="2:10" s="577" customFormat="1">
      <c r="B1055" s="582" t="s">
        <v>1262</v>
      </c>
      <c r="C1055" s="582"/>
      <c r="D1055" s="582"/>
      <c r="E1055" s="582"/>
      <c r="F1055" s="582"/>
      <c r="G1055" s="582"/>
      <c r="H1055" s="642"/>
      <c r="I1055" s="582"/>
      <c r="J1055" s="582"/>
    </row>
    <row r="1056" spans="2:10" s="577" customFormat="1">
      <c r="B1056" s="583" t="s">
        <v>1175</v>
      </c>
      <c r="C1056" s="583"/>
      <c r="D1056" s="584"/>
      <c r="E1056" s="584"/>
      <c r="F1056" s="584"/>
      <c r="G1056" s="582"/>
      <c r="H1056" s="582"/>
      <c r="I1056" s="607"/>
      <c r="J1056" s="582"/>
    </row>
    <row r="1057" spans="2:10" s="577" customFormat="1">
      <c r="B1057" s="584"/>
      <c r="C1057" s="584"/>
      <c r="D1057" s="584"/>
      <c r="E1057" s="584"/>
      <c r="F1057" s="584"/>
      <c r="G1057" s="582"/>
      <c r="H1057" s="582"/>
      <c r="I1057" s="647"/>
      <c r="J1057" s="648"/>
    </row>
    <row r="1058" spans="2:10" s="577" customFormat="1" ht="30">
      <c r="B1058" s="585" t="s">
        <v>1176</v>
      </c>
      <c r="C1058" s="1075" t="s">
        <v>1177</v>
      </c>
      <c r="D1058" s="1075"/>
      <c r="E1058" s="585" t="s">
        <v>1178</v>
      </c>
      <c r="F1058" s="585" t="s">
        <v>1394</v>
      </c>
      <c r="G1058" s="608"/>
      <c r="H1058" s="608"/>
      <c r="I1058" s="608"/>
      <c r="J1058" s="648"/>
    </row>
    <row r="1059" spans="2:10" s="577" customFormat="1" ht="28.5">
      <c r="B1059" s="636" t="s">
        <v>1410</v>
      </c>
      <c r="C1059" s="1078" t="s">
        <v>1411</v>
      </c>
      <c r="D1059" s="1078"/>
      <c r="E1059" s="588" t="s">
        <v>691</v>
      </c>
      <c r="F1059" s="588">
        <v>61.15</v>
      </c>
      <c r="G1059" s="738"/>
      <c r="H1059" s="738"/>
      <c r="I1059" s="649"/>
      <c r="J1059" s="648"/>
    </row>
    <row r="1060" spans="2:10" s="577" customFormat="1">
      <c r="B1060" s="636" t="s">
        <v>1412</v>
      </c>
      <c r="C1060" s="1078" t="s">
        <v>1413</v>
      </c>
      <c r="D1060" s="1078"/>
      <c r="E1060" s="588" t="s">
        <v>691</v>
      </c>
      <c r="F1060" s="588">
        <v>64.37</v>
      </c>
      <c r="G1060" s="738"/>
      <c r="H1060" s="738"/>
      <c r="I1060" s="649"/>
      <c r="J1060" s="648"/>
    </row>
    <row r="1061" spans="2:10" s="577" customFormat="1" ht="28.5">
      <c r="B1061" s="636" t="s">
        <v>1248</v>
      </c>
      <c r="C1061" s="1078" t="s">
        <v>1185</v>
      </c>
      <c r="D1061" s="1078"/>
      <c r="E1061" s="588" t="s">
        <v>691</v>
      </c>
      <c r="F1061" s="588">
        <v>59.31</v>
      </c>
      <c r="G1061" s="738"/>
      <c r="H1061" s="738"/>
      <c r="I1061" s="649"/>
      <c r="J1061" s="648"/>
    </row>
    <row r="1062" spans="2:10" s="577" customFormat="1">
      <c r="B1062" s="1101" t="s">
        <v>1186</v>
      </c>
      <c r="C1062" s="1101"/>
      <c r="D1062" s="1101"/>
      <c r="E1062" s="1101"/>
      <c r="F1062" s="590">
        <f>SMALL(F1059:F1061,1)</f>
        <v>59.31</v>
      </c>
      <c r="G1062" s="739"/>
      <c r="H1062" s="739"/>
      <c r="I1062" s="608"/>
      <c r="J1062" s="648"/>
    </row>
    <row r="1063" spans="2:10" s="577" customFormat="1">
      <c r="B1063" s="582"/>
      <c r="C1063" s="582"/>
      <c r="D1063" s="582"/>
      <c r="E1063" s="582"/>
      <c r="F1063" s="582"/>
      <c r="G1063" s="582"/>
      <c r="H1063" s="582"/>
      <c r="I1063" s="582"/>
      <c r="J1063" s="582"/>
    </row>
    <row r="1064" spans="2:10" s="577" customFormat="1">
      <c r="B1064" s="585" t="s">
        <v>1187</v>
      </c>
      <c r="C1064" s="585" t="s">
        <v>1178</v>
      </c>
      <c r="D1064" s="585" t="s">
        <v>1188</v>
      </c>
      <c r="E1064" s="585" t="s">
        <v>1189</v>
      </c>
      <c r="F1064" s="585" t="s">
        <v>1190</v>
      </c>
      <c r="G1064" s="585" t="s">
        <v>1191</v>
      </c>
      <c r="H1064" s="585" t="s">
        <v>1192</v>
      </c>
      <c r="I1064" s="585" t="s">
        <v>1179</v>
      </c>
      <c r="J1064" s="585" t="s">
        <v>1193</v>
      </c>
    </row>
    <row r="1065" spans="2:10" s="577" customFormat="1">
      <c r="B1065" s="594" t="s">
        <v>1414</v>
      </c>
      <c r="C1065" s="591" t="s">
        <v>1195</v>
      </c>
      <c r="D1065" s="592">
        <v>88309</v>
      </c>
      <c r="E1065" s="591">
        <v>2.5</v>
      </c>
      <c r="F1065" s="593"/>
      <c r="G1065" s="593"/>
      <c r="H1065" s="593"/>
      <c r="I1065" s="593">
        <v>20.93</v>
      </c>
      <c r="J1065" s="593">
        <f>E1065*I1065</f>
        <v>52.325000000000003</v>
      </c>
    </row>
    <row r="1066" spans="2:10" s="577" customFormat="1">
      <c r="B1066" s="594" t="s">
        <v>1384</v>
      </c>
      <c r="C1066" s="591" t="s">
        <v>1195</v>
      </c>
      <c r="D1066" s="592">
        <v>88316</v>
      </c>
      <c r="E1066" s="591">
        <v>2.5</v>
      </c>
      <c r="F1066" s="593"/>
      <c r="G1066" s="593"/>
      <c r="H1066" s="593"/>
      <c r="I1066" s="593">
        <v>14.98</v>
      </c>
      <c r="J1066" s="593">
        <f>E1066*I1066</f>
        <v>37.450000000000003</v>
      </c>
    </row>
    <row r="1067" spans="2:10" s="577" customFormat="1">
      <c r="B1067" s="1087" t="s">
        <v>1196</v>
      </c>
      <c r="C1067" s="1087"/>
      <c r="D1067" s="1087"/>
      <c r="E1067" s="1087"/>
      <c r="F1067" s="1087"/>
      <c r="G1067" s="1087"/>
      <c r="H1067" s="1087"/>
      <c r="I1067" s="1087"/>
      <c r="J1067" s="599">
        <f>J1065+J1066</f>
        <v>89.775000000000006</v>
      </c>
    </row>
    <row r="1068" spans="2:10" s="577" customFormat="1">
      <c r="B1068" s="606"/>
      <c r="C1068" s="606"/>
      <c r="D1068" s="606"/>
      <c r="E1068" s="606"/>
      <c r="F1068" s="606"/>
      <c r="G1068" s="606"/>
      <c r="H1068" s="606"/>
      <c r="I1068" s="606"/>
      <c r="J1068" s="606"/>
    </row>
    <row r="1069" spans="2:10" s="577" customFormat="1">
      <c r="B1069" s="585" t="s">
        <v>1197</v>
      </c>
      <c r="C1069" s="585" t="s">
        <v>1178</v>
      </c>
      <c r="D1069" s="585" t="s">
        <v>1188</v>
      </c>
      <c r="E1069" s="585" t="s">
        <v>1189</v>
      </c>
      <c r="F1069" s="585" t="s">
        <v>1190</v>
      </c>
      <c r="G1069" s="585" t="s">
        <v>1191</v>
      </c>
      <c r="H1069" s="585" t="s">
        <v>1192</v>
      </c>
      <c r="I1069" s="585" t="s">
        <v>1179</v>
      </c>
      <c r="J1069" s="585" t="s">
        <v>1193</v>
      </c>
    </row>
    <row r="1070" spans="2:10" s="577" customFormat="1" ht="42.75">
      <c r="B1070" s="594" t="s">
        <v>1415</v>
      </c>
      <c r="C1070" s="591" t="s">
        <v>1199</v>
      </c>
      <c r="D1070" s="595" t="s">
        <v>1200</v>
      </c>
      <c r="E1070" s="646">
        <v>1</v>
      </c>
      <c r="F1070" s="593"/>
      <c r="G1070" s="593"/>
      <c r="H1070" s="593"/>
      <c r="I1070" s="593">
        <f>F1062</f>
        <v>59.31</v>
      </c>
      <c r="J1070" s="593">
        <f>E1070*I1070</f>
        <v>59.31</v>
      </c>
    </row>
    <row r="1071" spans="2:10" s="577" customFormat="1">
      <c r="B1071" s="1087" t="s">
        <v>1196</v>
      </c>
      <c r="C1071" s="1087"/>
      <c r="D1071" s="1087"/>
      <c r="E1071" s="1087"/>
      <c r="F1071" s="1087"/>
      <c r="G1071" s="1087"/>
      <c r="H1071" s="1087"/>
      <c r="I1071" s="1087"/>
      <c r="J1071" s="599">
        <f>SUM(J1070:J1070)</f>
        <v>59.31</v>
      </c>
    </row>
    <row r="1072" spans="2:10" s="577" customFormat="1">
      <c r="B1072" s="582"/>
      <c r="C1072" s="582"/>
      <c r="D1072" s="582"/>
      <c r="E1072" s="582"/>
      <c r="F1072" s="582"/>
      <c r="G1072" s="582"/>
      <c r="H1072" s="582"/>
      <c r="I1072" s="582"/>
      <c r="J1072" s="582"/>
    </row>
    <row r="1073" spans="2:10" s="577" customFormat="1">
      <c r="B1073" s="1088" t="s">
        <v>1201</v>
      </c>
      <c r="C1073" s="1088"/>
      <c r="D1073" s="1088"/>
      <c r="E1073" s="1088"/>
      <c r="F1073" s="1088"/>
      <c r="G1073" s="582"/>
      <c r="H1073" s="582"/>
      <c r="I1073" s="582"/>
      <c r="J1073" s="582"/>
    </row>
    <row r="1074" spans="2:10" s="577" customFormat="1">
      <c r="B1074" s="1089" t="s">
        <v>1202</v>
      </c>
      <c r="C1074" s="1090"/>
      <c r="D1074" s="1091"/>
      <c r="E1074" s="596" t="s">
        <v>1203</v>
      </c>
      <c r="F1074" s="596" t="s">
        <v>1204</v>
      </c>
      <c r="G1074" s="582"/>
      <c r="H1074" s="582"/>
      <c r="I1074" s="582"/>
      <c r="J1074" s="582"/>
    </row>
    <row r="1075" spans="2:10" s="577" customFormat="1">
      <c r="B1075" s="1092" t="s">
        <v>1205</v>
      </c>
      <c r="C1075" s="1093"/>
      <c r="D1075" s="1094"/>
      <c r="E1075" s="1172">
        <v>128.33000000000001</v>
      </c>
      <c r="F1075" s="598">
        <f>J1067</f>
        <v>89.775000000000006</v>
      </c>
      <c r="G1075" s="582"/>
      <c r="H1075" s="582"/>
      <c r="I1075" s="582"/>
      <c r="J1075" s="582"/>
    </row>
    <row r="1076" spans="2:10" s="577" customFormat="1">
      <c r="B1076" s="1092" t="s">
        <v>1206</v>
      </c>
      <c r="C1076" s="1093"/>
      <c r="D1076" s="1094"/>
      <c r="E1076" s="1173"/>
      <c r="F1076" s="598">
        <f>J1071</f>
        <v>59.31</v>
      </c>
      <c r="G1076" s="582"/>
      <c r="H1076" s="582"/>
      <c r="I1076" s="582"/>
      <c r="J1076" s="582"/>
    </row>
    <row r="1077" spans="2:10" s="577" customFormat="1">
      <c r="B1077" s="1092" t="s">
        <v>1207</v>
      </c>
      <c r="C1077" s="1093"/>
      <c r="D1077" s="1094"/>
      <c r="E1077" s="1173"/>
      <c r="F1077" s="598">
        <v>0</v>
      </c>
      <c r="G1077" s="582"/>
      <c r="H1077" s="582"/>
      <c r="I1077" s="582"/>
      <c r="J1077" s="582"/>
    </row>
    <row r="1078" spans="2:10" s="577" customFormat="1">
      <c r="B1078" s="1092" t="s">
        <v>1208</v>
      </c>
      <c r="C1078" s="1093"/>
      <c r="D1078" s="1094"/>
      <c r="E1078" s="1173"/>
      <c r="F1078" s="598">
        <v>1</v>
      </c>
      <c r="G1078" s="582"/>
      <c r="H1078" s="582"/>
      <c r="I1078" s="582"/>
      <c r="J1078" s="582"/>
    </row>
    <row r="1079" spans="2:10" s="577" customFormat="1">
      <c r="B1079" s="1092" t="s">
        <v>1209</v>
      </c>
      <c r="C1079" s="1093"/>
      <c r="D1079" s="1094"/>
      <c r="E1079" s="1173"/>
      <c r="F1079" s="598">
        <f>F1075+F1077</f>
        <v>89.775000000000006</v>
      </c>
      <c r="G1079" s="582"/>
      <c r="H1079" s="582"/>
      <c r="I1079" s="582"/>
      <c r="J1079" s="582"/>
    </row>
    <row r="1080" spans="2:10" s="577" customFormat="1">
      <c r="B1080" s="1092" t="s">
        <v>1210</v>
      </c>
      <c r="C1080" s="1093"/>
      <c r="D1080" s="1094"/>
      <c r="E1080" s="1173"/>
      <c r="F1080" s="598">
        <f>(F1075/F1078)+(F1077/F1078)</f>
        <v>89.775000000000006</v>
      </c>
      <c r="G1080" s="582"/>
      <c r="H1080" s="582"/>
      <c r="I1080" s="582"/>
      <c r="J1080" s="582"/>
    </row>
    <row r="1081" spans="2:10" s="577" customFormat="1">
      <c r="B1081" s="1092" t="s">
        <v>1211</v>
      </c>
      <c r="C1081" s="1093"/>
      <c r="D1081" s="1094"/>
      <c r="E1081" s="1174"/>
      <c r="F1081" s="598">
        <f>F1076+F1080</f>
        <v>149.08500000000001</v>
      </c>
      <c r="G1081" s="582"/>
      <c r="H1081" s="582"/>
      <c r="I1081" s="582"/>
      <c r="J1081" s="582"/>
    </row>
    <row r="1082" spans="2:10" s="577" customFormat="1">
      <c r="B1082" s="1092" t="s">
        <v>1212</v>
      </c>
      <c r="C1082" s="1093"/>
      <c r="D1082" s="1094"/>
      <c r="E1082" s="1172">
        <v>0</v>
      </c>
      <c r="F1082" s="598">
        <f>F1081*(E1082/100)</f>
        <v>0</v>
      </c>
      <c r="G1082" s="582"/>
      <c r="H1082" s="582"/>
      <c r="I1082" s="582"/>
      <c r="J1082" s="582"/>
    </row>
    <row r="1083" spans="2:10" s="577" customFormat="1">
      <c r="B1083" s="1095" t="s">
        <v>1213</v>
      </c>
      <c r="C1083" s="1096"/>
      <c r="D1083" s="1097"/>
      <c r="E1083" s="1174"/>
      <c r="F1083" s="600">
        <f>F1081+F1082</f>
        <v>149.08500000000001</v>
      </c>
      <c r="G1083" s="582"/>
      <c r="H1083" s="582"/>
      <c r="I1083" s="582"/>
      <c r="J1083" s="582"/>
    </row>
    <row r="1087" spans="2:10" s="577" customFormat="1">
      <c r="B1087" s="578" t="s">
        <v>1416</v>
      </c>
      <c r="C1087" s="582"/>
      <c r="D1087" s="582"/>
      <c r="E1087" s="582"/>
      <c r="F1087" s="582"/>
      <c r="G1087" s="582"/>
      <c r="H1087" s="578" t="s">
        <v>1261</v>
      </c>
      <c r="I1087" s="582"/>
      <c r="J1087" s="582"/>
    </row>
    <row r="1088" spans="2:10" s="577" customFormat="1">
      <c r="B1088" s="582" t="s">
        <v>1417</v>
      </c>
      <c r="C1088" s="582"/>
      <c r="D1088" s="582"/>
      <c r="E1088" s="582"/>
      <c r="F1088" s="582"/>
      <c r="G1088" s="582"/>
      <c r="H1088" s="642"/>
      <c r="I1088" s="582"/>
      <c r="J1088" s="582"/>
    </row>
    <row r="1089" spans="2:10" s="577" customFormat="1">
      <c r="B1089" s="583" t="s">
        <v>1175</v>
      </c>
      <c r="C1089" s="583"/>
      <c r="D1089" s="584"/>
      <c r="E1089" s="584"/>
      <c r="F1089" s="584"/>
      <c r="G1089" s="582"/>
      <c r="H1089" s="582"/>
      <c r="I1089" s="607"/>
      <c r="J1089" s="582"/>
    </row>
    <row r="1090" spans="2:10" s="577" customFormat="1">
      <c r="B1090" s="584"/>
      <c r="C1090" s="584"/>
      <c r="D1090" s="584"/>
      <c r="E1090" s="584"/>
      <c r="F1090" s="584"/>
      <c r="G1090" s="582"/>
      <c r="H1090" s="582"/>
      <c r="I1090" s="647"/>
      <c r="J1090" s="648"/>
    </row>
    <row r="1091" spans="2:10" s="577" customFormat="1">
      <c r="B1091" s="585" t="s">
        <v>1176</v>
      </c>
      <c r="C1091" s="1075" t="s">
        <v>1177</v>
      </c>
      <c r="D1091" s="1075"/>
      <c r="E1091" s="585" t="s">
        <v>1178</v>
      </c>
      <c r="F1091" s="585" t="s">
        <v>1418</v>
      </c>
      <c r="G1091" s="608"/>
      <c r="H1091" s="608"/>
      <c r="I1091" s="608"/>
      <c r="J1091" s="648"/>
    </row>
    <row r="1092" spans="2:10" s="577" customFormat="1" ht="28.5">
      <c r="B1092" s="594" t="s">
        <v>1419</v>
      </c>
      <c r="C1092" s="1078" t="s">
        <v>1265</v>
      </c>
      <c r="D1092" s="1078"/>
      <c r="E1092" s="588" t="s">
        <v>691</v>
      </c>
      <c r="F1092" s="588">
        <v>137.47999999999999</v>
      </c>
      <c r="G1092" s="738"/>
      <c r="H1092" s="738"/>
      <c r="I1092" s="649"/>
      <c r="J1092" s="648"/>
    </row>
    <row r="1093" spans="2:10" s="577" customFormat="1" ht="28.5">
      <c r="B1093" s="751" t="s">
        <v>1420</v>
      </c>
      <c r="C1093" s="1078" t="s">
        <v>1267</v>
      </c>
      <c r="D1093" s="1078"/>
      <c r="E1093" s="588" t="s">
        <v>691</v>
      </c>
      <c r="F1093" s="588">
        <v>145</v>
      </c>
      <c r="G1093" s="738"/>
      <c r="H1093" s="738"/>
      <c r="I1093" s="649"/>
      <c r="J1093" s="648"/>
    </row>
    <row r="1094" spans="2:10" s="577" customFormat="1" ht="29.25">
      <c r="B1094" s="752" t="s">
        <v>1421</v>
      </c>
      <c r="C1094" s="1078" t="s">
        <v>1269</v>
      </c>
      <c r="D1094" s="1078"/>
      <c r="E1094" s="588" t="s">
        <v>691</v>
      </c>
      <c r="F1094" s="588">
        <v>142.99</v>
      </c>
      <c r="G1094" s="738"/>
      <c r="H1094" s="738"/>
      <c r="I1094" s="649"/>
      <c r="J1094" s="648"/>
    </row>
    <row r="1095" spans="2:10" s="577" customFormat="1">
      <c r="B1095" s="1101" t="s">
        <v>1186</v>
      </c>
      <c r="C1095" s="1101"/>
      <c r="D1095" s="1101"/>
      <c r="E1095" s="1101"/>
      <c r="F1095" s="590">
        <v>137.47999999999999</v>
      </c>
      <c r="G1095" s="739"/>
      <c r="H1095" s="739"/>
      <c r="I1095" s="608"/>
      <c r="J1095" s="648"/>
    </row>
    <row r="1096" spans="2:10" s="577" customFormat="1">
      <c r="B1096" s="582"/>
      <c r="C1096" s="582"/>
      <c r="D1096" s="582"/>
      <c r="E1096" s="582"/>
      <c r="F1096" s="582"/>
      <c r="G1096" s="582"/>
      <c r="H1096" s="582"/>
      <c r="I1096" s="582"/>
      <c r="J1096" s="582"/>
    </row>
    <row r="1097" spans="2:10" s="577" customFormat="1">
      <c r="B1097" s="585" t="s">
        <v>1187</v>
      </c>
      <c r="C1097" s="585" t="s">
        <v>1178</v>
      </c>
      <c r="D1097" s="585" t="s">
        <v>1188</v>
      </c>
      <c r="E1097" s="585" t="s">
        <v>1189</v>
      </c>
      <c r="F1097" s="585" t="s">
        <v>1190</v>
      </c>
      <c r="G1097" s="585" t="s">
        <v>1191</v>
      </c>
      <c r="H1097" s="585" t="s">
        <v>1192</v>
      </c>
      <c r="I1097" s="585" t="s">
        <v>1179</v>
      </c>
      <c r="J1097" s="585" t="s">
        <v>1193</v>
      </c>
    </row>
    <row r="1098" spans="2:10" s="577" customFormat="1">
      <c r="B1098" s="594" t="s">
        <v>1384</v>
      </c>
      <c r="C1098" s="591" t="s">
        <v>1195</v>
      </c>
      <c r="D1098" s="592">
        <v>88316</v>
      </c>
      <c r="E1098" s="591">
        <v>4.2700000000000002E-2</v>
      </c>
      <c r="F1098" s="593"/>
      <c r="G1098" s="593"/>
      <c r="H1098" s="593"/>
      <c r="I1098" s="593">
        <v>14.98</v>
      </c>
      <c r="J1098" s="593">
        <f>E1098*I1098</f>
        <v>0.63964600000000005</v>
      </c>
    </row>
    <row r="1099" spans="2:10" s="577" customFormat="1">
      <c r="B1099" s="594" t="s">
        <v>1271</v>
      </c>
      <c r="C1099" s="591" t="s">
        <v>1195</v>
      </c>
      <c r="D1099" s="592">
        <v>88267</v>
      </c>
      <c r="E1099" s="753">
        <v>0.1356</v>
      </c>
      <c r="F1099" s="593"/>
      <c r="G1099" s="593"/>
      <c r="H1099" s="593"/>
      <c r="I1099" s="593">
        <v>18.8</v>
      </c>
      <c r="J1099" s="593">
        <f>E1099*I1099</f>
        <v>2.54928</v>
      </c>
    </row>
    <row r="1100" spans="2:10" s="577" customFormat="1">
      <c r="B1100" s="1087" t="s">
        <v>1196</v>
      </c>
      <c r="C1100" s="1087"/>
      <c r="D1100" s="1087"/>
      <c r="E1100" s="1087"/>
      <c r="F1100" s="1087"/>
      <c r="G1100" s="1087"/>
      <c r="H1100" s="1087"/>
      <c r="I1100" s="1087"/>
      <c r="J1100" s="599">
        <f>J1098+J1099</f>
        <v>3.1889259999999999</v>
      </c>
    </row>
    <row r="1101" spans="2:10" s="577" customFormat="1">
      <c r="B1101" s="606"/>
      <c r="C1101" s="606"/>
      <c r="D1101" s="606"/>
      <c r="E1101" s="606"/>
      <c r="F1101" s="606"/>
      <c r="G1101" s="606"/>
      <c r="H1101" s="606"/>
      <c r="I1101" s="606"/>
      <c r="J1101" s="606"/>
    </row>
    <row r="1102" spans="2:10" s="577" customFormat="1">
      <c r="B1102" s="585" t="s">
        <v>1197</v>
      </c>
      <c r="C1102" s="585" t="s">
        <v>1178</v>
      </c>
      <c r="D1102" s="585" t="s">
        <v>1188</v>
      </c>
      <c r="E1102" s="585" t="s">
        <v>1189</v>
      </c>
      <c r="F1102" s="585" t="s">
        <v>1190</v>
      </c>
      <c r="G1102" s="585" t="s">
        <v>1191</v>
      </c>
      <c r="H1102" s="585" t="s">
        <v>1192</v>
      </c>
      <c r="I1102" s="585" t="s">
        <v>1179</v>
      </c>
      <c r="J1102" s="585" t="s">
        <v>1193</v>
      </c>
    </row>
    <row r="1103" spans="2:10" s="577" customFormat="1" ht="28.5">
      <c r="B1103" s="594" t="s">
        <v>1422</v>
      </c>
      <c r="C1103" s="591" t="s">
        <v>1199</v>
      </c>
      <c r="D1103" s="595" t="s">
        <v>1200</v>
      </c>
      <c r="E1103" s="646">
        <v>1</v>
      </c>
      <c r="F1103" s="593"/>
      <c r="G1103" s="593"/>
      <c r="H1103" s="593"/>
      <c r="I1103" s="593">
        <f>F1095</f>
        <v>137.47999999999999</v>
      </c>
      <c r="J1103" s="593">
        <f>E1103*I1103</f>
        <v>137.47999999999999</v>
      </c>
    </row>
    <row r="1104" spans="2:10" s="577" customFormat="1">
      <c r="B1104" s="1087" t="s">
        <v>1196</v>
      </c>
      <c r="C1104" s="1087"/>
      <c r="D1104" s="1087"/>
      <c r="E1104" s="1087"/>
      <c r="F1104" s="1087"/>
      <c r="G1104" s="1087"/>
      <c r="H1104" s="1087"/>
      <c r="I1104" s="1087"/>
      <c r="J1104" s="599">
        <f>SUM(J1103:J1103)</f>
        <v>137.47999999999999</v>
      </c>
    </row>
    <row r="1105" spans="2:10" s="577" customFormat="1">
      <c r="B1105" s="582"/>
      <c r="C1105" s="582"/>
      <c r="D1105" s="582"/>
      <c r="E1105" s="582"/>
      <c r="F1105" s="582"/>
      <c r="G1105" s="582"/>
      <c r="H1105" s="582"/>
      <c r="I1105" s="582"/>
      <c r="J1105" s="582"/>
    </row>
    <row r="1106" spans="2:10" s="577" customFormat="1">
      <c r="B1106" s="1088" t="s">
        <v>1201</v>
      </c>
      <c r="C1106" s="1088"/>
      <c r="D1106" s="1088"/>
      <c r="E1106" s="1088"/>
      <c r="F1106" s="1088"/>
      <c r="G1106" s="582"/>
      <c r="H1106" s="582"/>
      <c r="I1106" s="582"/>
      <c r="J1106" s="582"/>
    </row>
    <row r="1107" spans="2:10" s="577" customFormat="1">
      <c r="B1107" s="1089" t="s">
        <v>1202</v>
      </c>
      <c r="C1107" s="1090"/>
      <c r="D1107" s="1091"/>
      <c r="E1107" s="596" t="s">
        <v>1203</v>
      </c>
      <c r="F1107" s="596" t="s">
        <v>1204</v>
      </c>
      <c r="G1107" s="582"/>
      <c r="H1107" s="582"/>
      <c r="I1107" s="582"/>
      <c r="J1107" s="582"/>
    </row>
    <row r="1108" spans="2:10" s="577" customFormat="1">
      <c r="B1108" s="1092" t="s">
        <v>1205</v>
      </c>
      <c r="C1108" s="1093"/>
      <c r="D1108" s="1094"/>
      <c r="E1108" s="1172">
        <v>128.33000000000001</v>
      </c>
      <c r="F1108" s="598">
        <f>J1100</f>
        <v>3.1889259999999999</v>
      </c>
      <c r="G1108" s="582"/>
      <c r="H1108" s="582"/>
      <c r="I1108" s="582"/>
      <c r="J1108" s="582"/>
    </row>
    <row r="1109" spans="2:10" s="577" customFormat="1">
      <c r="B1109" s="1092" t="s">
        <v>1206</v>
      </c>
      <c r="C1109" s="1093"/>
      <c r="D1109" s="1094"/>
      <c r="E1109" s="1173"/>
      <c r="F1109" s="598">
        <f>J1104</f>
        <v>137.47999999999999</v>
      </c>
      <c r="G1109" s="582"/>
      <c r="H1109" s="582"/>
      <c r="I1109" s="582"/>
      <c r="J1109" s="582"/>
    </row>
    <row r="1110" spans="2:10" s="577" customFormat="1">
      <c r="B1110" s="1092" t="s">
        <v>1207</v>
      </c>
      <c r="C1110" s="1093"/>
      <c r="D1110" s="1094"/>
      <c r="E1110" s="1173"/>
      <c r="F1110" s="598">
        <v>0</v>
      </c>
      <c r="G1110" s="582"/>
      <c r="H1110" s="582"/>
      <c r="I1110" s="582"/>
      <c r="J1110" s="582"/>
    </row>
    <row r="1111" spans="2:10" s="577" customFormat="1">
      <c r="B1111" s="1092" t="s">
        <v>1208</v>
      </c>
      <c r="C1111" s="1093"/>
      <c r="D1111" s="1094"/>
      <c r="E1111" s="1173"/>
      <c r="F1111" s="598">
        <v>1</v>
      </c>
      <c r="G1111" s="582"/>
      <c r="H1111" s="582"/>
      <c r="I1111" s="582"/>
      <c r="J1111" s="582"/>
    </row>
    <row r="1112" spans="2:10" s="577" customFormat="1">
      <c r="B1112" s="1092" t="s">
        <v>1209</v>
      </c>
      <c r="C1112" s="1093"/>
      <c r="D1112" s="1094"/>
      <c r="E1112" s="1173"/>
      <c r="F1112" s="598">
        <f>F1108+F1110</f>
        <v>3.1889259999999999</v>
      </c>
      <c r="G1112" s="582"/>
      <c r="H1112" s="582"/>
      <c r="I1112" s="582"/>
      <c r="J1112" s="582"/>
    </row>
    <row r="1113" spans="2:10" s="577" customFormat="1">
      <c r="B1113" s="1092" t="s">
        <v>1210</v>
      </c>
      <c r="C1113" s="1093"/>
      <c r="D1113" s="1094"/>
      <c r="E1113" s="1173"/>
      <c r="F1113" s="598">
        <f>(F1108/F1111)+(F1110/F1111)</f>
        <v>3.1889259999999999</v>
      </c>
      <c r="G1113" s="582"/>
      <c r="H1113" s="582"/>
      <c r="I1113" s="582"/>
      <c r="J1113" s="582"/>
    </row>
    <row r="1114" spans="2:10" s="577" customFormat="1">
      <c r="B1114" s="1092" t="s">
        <v>1211</v>
      </c>
      <c r="C1114" s="1093"/>
      <c r="D1114" s="1094"/>
      <c r="E1114" s="1174"/>
      <c r="F1114" s="598">
        <f>F1109+F1113</f>
        <v>140.668926</v>
      </c>
      <c r="G1114" s="582"/>
      <c r="H1114" s="582"/>
      <c r="I1114" s="582"/>
      <c r="J1114" s="582"/>
    </row>
    <row r="1115" spans="2:10" s="577" customFormat="1">
      <c r="B1115" s="1092" t="s">
        <v>1212</v>
      </c>
      <c r="C1115" s="1093"/>
      <c r="D1115" s="1094"/>
      <c r="E1115" s="1172">
        <v>0</v>
      </c>
      <c r="F1115" s="598">
        <f>F1114*(E1115/100)</f>
        <v>0</v>
      </c>
      <c r="G1115" s="582"/>
      <c r="H1115" s="582"/>
      <c r="I1115" s="582"/>
      <c r="J1115" s="582"/>
    </row>
    <row r="1116" spans="2:10" s="577" customFormat="1">
      <c r="B1116" s="1095" t="s">
        <v>1213</v>
      </c>
      <c r="C1116" s="1096"/>
      <c r="D1116" s="1097"/>
      <c r="E1116" s="1174"/>
      <c r="F1116" s="600">
        <f>F1114+F1115</f>
        <v>140.668926</v>
      </c>
      <c r="G1116" s="582"/>
      <c r="H1116" s="582"/>
      <c r="I1116" s="582"/>
      <c r="J1116" s="582"/>
    </row>
    <row r="1122" spans="2:10" s="577" customFormat="1">
      <c r="B1122" s="578" t="s">
        <v>1423</v>
      </c>
      <c r="C1122" s="582"/>
      <c r="D1122" s="582"/>
      <c r="E1122" s="582"/>
      <c r="F1122" s="582"/>
      <c r="G1122" s="582"/>
      <c r="H1122" s="578" t="s">
        <v>1424</v>
      </c>
      <c r="I1122" s="582"/>
      <c r="J1122" s="582"/>
    </row>
    <row r="1123" spans="2:10" s="577" customFormat="1">
      <c r="B1123" s="582" t="s">
        <v>1425</v>
      </c>
      <c r="C1123" s="582"/>
      <c r="D1123" s="582"/>
      <c r="E1123" s="582"/>
      <c r="F1123" s="582"/>
      <c r="G1123" s="582"/>
      <c r="H1123" s="642"/>
      <c r="I1123" s="582"/>
      <c r="J1123" s="582"/>
    </row>
    <row r="1124" spans="2:10" s="577" customFormat="1">
      <c r="B1124" s="583" t="s">
        <v>1426</v>
      </c>
      <c r="C1124" s="583"/>
      <c r="D1124" s="584"/>
      <c r="E1124" s="584"/>
      <c r="F1124" s="584"/>
      <c r="G1124" s="582"/>
      <c r="H1124" s="582"/>
      <c r="I1124" s="607"/>
      <c r="J1124" s="582"/>
    </row>
    <row r="1125" spans="2:10" s="577" customFormat="1">
      <c r="B1125" s="584"/>
      <c r="C1125" s="584"/>
      <c r="D1125" s="584"/>
      <c r="E1125" s="584"/>
      <c r="F1125" s="584"/>
      <c r="G1125" s="582"/>
      <c r="H1125" s="582"/>
      <c r="I1125" s="647"/>
      <c r="J1125" s="648"/>
    </row>
    <row r="1126" spans="2:10" s="577" customFormat="1">
      <c r="B1126" s="585" t="s">
        <v>1176</v>
      </c>
      <c r="C1126" s="1075" t="s">
        <v>1177</v>
      </c>
      <c r="D1126" s="1075"/>
      <c r="E1126" s="585" t="s">
        <v>1178</v>
      </c>
      <c r="F1126" s="585" t="s">
        <v>1418</v>
      </c>
      <c r="G1126" s="608"/>
      <c r="H1126" s="608"/>
      <c r="I1126" s="608"/>
      <c r="J1126" s="648"/>
    </row>
    <row r="1127" spans="2:10" s="577" customFormat="1">
      <c r="B1127" s="754" t="s">
        <v>1427</v>
      </c>
      <c r="C1127" s="1155" t="s">
        <v>1428</v>
      </c>
      <c r="D1127" s="1156"/>
      <c r="E1127" s="755" t="s">
        <v>1008</v>
      </c>
      <c r="F1127" s="756">
        <v>315</v>
      </c>
      <c r="G1127" s="738"/>
      <c r="H1127" s="738"/>
      <c r="I1127" s="649"/>
      <c r="J1127" s="648"/>
    </row>
    <row r="1128" spans="2:10" s="577" customFormat="1">
      <c r="B1128" s="754" t="s">
        <v>1429</v>
      </c>
      <c r="C1128" s="1155" t="s">
        <v>1430</v>
      </c>
      <c r="D1128" s="1156"/>
      <c r="E1128" s="755" t="s">
        <v>1008</v>
      </c>
      <c r="F1128" s="756">
        <v>323</v>
      </c>
      <c r="G1128" s="738"/>
      <c r="H1128" s="738"/>
      <c r="I1128" s="649"/>
      <c r="J1128" s="648"/>
    </row>
    <row r="1129" spans="2:10" s="577" customFormat="1">
      <c r="B1129" s="754" t="s">
        <v>1431</v>
      </c>
      <c r="C1129" s="1155" t="s">
        <v>1432</v>
      </c>
      <c r="D1129" s="1156"/>
      <c r="E1129" s="755" t="s">
        <v>1008</v>
      </c>
      <c r="F1129" s="756">
        <v>330</v>
      </c>
      <c r="G1129" s="738"/>
      <c r="H1129" s="738"/>
      <c r="I1129" s="649"/>
      <c r="J1129" s="648"/>
    </row>
    <row r="1130" spans="2:10" s="577" customFormat="1">
      <c r="B1130" s="1101" t="s">
        <v>1186</v>
      </c>
      <c r="C1130" s="1101"/>
      <c r="D1130" s="1101"/>
      <c r="E1130" s="1101"/>
      <c r="F1130" s="590">
        <f>SMALL(F1127:F1129,1)</f>
        <v>315</v>
      </c>
      <c r="G1130" s="739"/>
      <c r="H1130" s="739"/>
      <c r="I1130" s="608"/>
      <c r="J1130" s="648"/>
    </row>
    <row r="1131" spans="2:10" s="577" customFormat="1">
      <c r="B1131" s="582"/>
      <c r="C1131" s="582"/>
      <c r="D1131" s="582"/>
      <c r="E1131" s="582"/>
      <c r="F1131" s="582"/>
      <c r="G1131" s="582"/>
      <c r="H1131" s="582"/>
      <c r="I1131" s="582"/>
      <c r="J1131" s="582"/>
    </row>
    <row r="1132" spans="2:10" s="577" customFormat="1">
      <c r="B1132" s="585" t="s">
        <v>1187</v>
      </c>
      <c r="C1132" s="585" t="s">
        <v>1178</v>
      </c>
      <c r="D1132" s="585" t="s">
        <v>1188</v>
      </c>
      <c r="E1132" s="585" t="s">
        <v>1189</v>
      </c>
      <c r="F1132" s="585" t="s">
        <v>1190</v>
      </c>
      <c r="G1132" s="585" t="s">
        <v>1191</v>
      </c>
      <c r="H1132" s="585" t="s">
        <v>1192</v>
      </c>
      <c r="I1132" s="585" t="s">
        <v>1179</v>
      </c>
      <c r="J1132" s="585" t="s">
        <v>1193</v>
      </c>
    </row>
    <row r="1133" spans="2:10" s="577" customFormat="1">
      <c r="B1133" s="757" t="s">
        <v>1433</v>
      </c>
      <c r="C1133" s="758" t="s">
        <v>1195</v>
      </c>
      <c r="D1133" s="758">
        <v>6111</v>
      </c>
      <c r="E1133" s="759">
        <v>0.4</v>
      </c>
      <c r="F1133" s="759">
        <v>1</v>
      </c>
      <c r="G1133" s="759">
        <v>5.67</v>
      </c>
      <c r="H1133" s="759">
        <v>0</v>
      </c>
      <c r="I1133" s="759">
        <v>9.52</v>
      </c>
      <c r="J1133" s="593">
        <f t="shared" ref="J1133:J1138" si="0">E1133*I1133</f>
        <v>3.8079999999999998</v>
      </c>
    </row>
    <row r="1134" spans="2:10" s="577" customFormat="1">
      <c r="B1134" s="757" t="s">
        <v>1434</v>
      </c>
      <c r="C1134" s="758" t="s">
        <v>1195</v>
      </c>
      <c r="D1134" s="758">
        <v>1213</v>
      </c>
      <c r="E1134" s="759">
        <v>0.6</v>
      </c>
      <c r="F1134" s="759">
        <v>1</v>
      </c>
      <c r="G1134" s="759">
        <v>6.72</v>
      </c>
      <c r="H1134" s="759">
        <v>0</v>
      </c>
      <c r="I1134" s="759">
        <v>15.27</v>
      </c>
      <c r="J1134" s="593">
        <f t="shared" si="0"/>
        <v>9.161999999999999</v>
      </c>
    </row>
    <row r="1135" spans="2:10" s="577" customFormat="1">
      <c r="B1135" s="1087" t="s">
        <v>1196</v>
      </c>
      <c r="C1135" s="1087"/>
      <c r="D1135" s="1087"/>
      <c r="E1135" s="1087"/>
      <c r="F1135" s="1087"/>
      <c r="G1135" s="1087"/>
      <c r="H1135" s="1087"/>
      <c r="I1135" s="1087"/>
      <c r="J1135" s="599">
        <f>J1133+J1134</f>
        <v>12.969999999999999</v>
      </c>
    </row>
    <row r="1136" spans="2:10" s="577" customFormat="1">
      <c r="B1136" s="606"/>
      <c r="C1136" s="606"/>
      <c r="D1136" s="606"/>
      <c r="E1136" s="606"/>
      <c r="F1136" s="606"/>
      <c r="G1136" s="606"/>
      <c r="H1136" s="606"/>
      <c r="I1136" s="606"/>
      <c r="J1136" s="606"/>
    </row>
    <row r="1137" spans="2:10" s="577" customFormat="1">
      <c r="B1137" s="585" t="s">
        <v>1197</v>
      </c>
      <c r="C1137" s="585" t="s">
        <v>1178</v>
      </c>
      <c r="D1137" s="585" t="s">
        <v>1188</v>
      </c>
      <c r="E1137" s="585" t="s">
        <v>1189</v>
      </c>
      <c r="F1137" s="585" t="s">
        <v>1190</v>
      </c>
      <c r="G1137" s="585" t="s">
        <v>1191</v>
      </c>
      <c r="H1137" s="585" t="s">
        <v>1192</v>
      </c>
      <c r="I1137" s="585" t="s">
        <v>1179</v>
      </c>
      <c r="J1137" s="585" t="s">
        <v>1193</v>
      </c>
    </row>
    <row r="1138" spans="2:10" s="577" customFormat="1" ht="42.75">
      <c r="B1138" s="594" t="s">
        <v>1435</v>
      </c>
      <c r="C1138" s="591" t="s">
        <v>1008</v>
      </c>
      <c r="D1138" s="595" t="s">
        <v>1200</v>
      </c>
      <c r="E1138" s="646">
        <v>1</v>
      </c>
      <c r="F1138" s="593"/>
      <c r="G1138" s="593"/>
      <c r="H1138" s="593"/>
      <c r="I1138" s="593">
        <f>F1130</f>
        <v>315</v>
      </c>
      <c r="J1138" s="593">
        <f t="shared" si="0"/>
        <v>315</v>
      </c>
    </row>
    <row r="1139" spans="2:10" s="577" customFormat="1">
      <c r="B1139" s="1087" t="s">
        <v>1196</v>
      </c>
      <c r="C1139" s="1087"/>
      <c r="D1139" s="1087"/>
      <c r="E1139" s="1087"/>
      <c r="F1139" s="1087"/>
      <c r="G1139" s="1087"/>
      <c r="H1139" s="1087"/>
      <c r="I1139" s="1087"/>
      <c r="J1139" s="599">
        <f>SUM(J1138:J1138)</f>
        <v>315</v>
      </c>
    </row>
    <row r="1140" spans="2:10" s="577" customFormat="1">
      <c r="B1140" s="582"/>
      <c r="C1140" s="582"/>
      <c r="D1140" s="582"/>
      <c r="E1140" s="582"/>
      <c r="F1140" s="582"/>
      <c r="G1140" s="582"/>
      <c r="H1140" s="582"/>
      <c r="I1140" s="582"/>
      <c r="J1140" s="582"/>
    </row>
    <row r="1141" spans="2:10" s="577" customFormat="1">
      <c r="B1141" s="1088" t="s">
        <v>1201</v>
      </c>
      <c r="C1141" s="1088"/>
      <c r="D1141" s="1088"/>
      <c r="E1141" s="1088"/>
      <c r="F1141" s="1088"/>
      <c r="G1141" s="582"/>
      <c r="H1141" s="582"/>
      <c r="I1141" s="582"/>
      <c r="J1141" s="582"/>
    </row>
    <row r="1142" spans="2:10" s="577" customFormat="1">
      <c r="B1142" s="1089" t="s">
        <v>1202</v>
      </c>
      <c r="C1142" s="1090"/>
      <c r="D1142" s="1091"/>
      <c r="E1142" s="596" t="s">
        <v>1203</v>
      </c>
      <c r="F1142" s="596" t="s">
        <v>1204</v>
      </c>
      <c r="G1142" s="582"/>
      <c r="H1142" s="582"/>
      <c r="I1142" s="582"/>
      <c r="J1142" s="582"/>
    </row>
    <row r="1143" spans="2:10" s="577" customFormat="1">
      <c r="B1143" s="1092" t="s">
        <v>1205</v>
      </c>
      <c r="C1143" s="1093"/>
      <c r="D1143" s="1094"/>
      <c r="E1143" s="1172">
        <v>128.33000000000001</v>
      </c>
      <c r="F1143" s="598">
        <f>J1135</f>
        <v>12.969999999999999</v>
      </c>
      <c r="G1143" s="582"/>
      <c r="H1143" s="582"/>
      <c r="I1143" s="582"/>
      <c r="J1143" s="582"/>
    </row>
    <row r="1144" spans="2:10" s="577" customFormat="1">
      <c r="B1144" s="1092" t="s">
        <v>1206</v>
      </c>
      <c r="C1144" s="1093"/>
      <c r="D1144" s="1094"/>
      <c r="E1144" s="1173"/>
      <c r="F1144" s="598">
        <f>J1139</f>
        <v>315</v>
      </c>
      <c r="G1144" s="582"/>
      <c r="H1144" s="582"/>
      <c r="I1144" s="582"/>
      <c r="J1144" s="582"/>
    </row>
    <row r="1145" spans="2:10" s="577" customFormat="1">
      <c r="B1145" s="1092" t="s">
        <v>1207</v>
      </c>
      <c r="C1145" s="1093"/>
      <c r="D1145" s="1094"/>
      <c r="E1145" s="1173"/>
      <c r="F1145" s="598">
        <v>0</v>
      </c>
      <c r="G1145" s="582"/>
      <c r="H1145" s="582"/>
      <c r="I1145" s="582"/>
      <c r="J1145" s="582"/>
    </row>
    <row r="1146" spans="2:10" s="577" customFormat="1">
      <c r="B1146" s="1092" t="s">
        <v>1208</v>
      </c>
      <c r="C1146" s="1093"/>
      <c r="D1146" s="1094"/>
      <c r="E1146" s="1173"/>
      <c r="F1146" s="598">
        <v>1</v>
      </c>
      <c r="G1146" s="582"/>
      <c r="H1146" s="582"/>
      <c r="I1146" s="582"/>
      <c r="J1146" s="582"/>
    </row>
    <row r="1147" spans="2:10" s="577" customFormat="1">
      <c r="B1147" s="1092" t="s">
        <v>1209</v>
      </c>
      <c r="C1147" s="1093"/>
      <c r="D1147" s="1094"/>
      <c r="E1147" s="1173"/>
      <c r="F1147" s="598">
        <f>F1143+F1145</f>
        <v>12.969999999999999</v>
      </c>
      <c r="G1147" s="582"/>
      <c r="H1147" s="582"/>
      <c r="I1147" s="582"/>
      <c r="J1147" s="582"/>
    </row>
    <row r="1148" spans="2:10" s="577" customFormat="1">
      <c r="B1148" s="1092" t="s">
        <v>1210</v>
      </c>
      <c r="C1148" s="1093"/>
      <c r="D1148" s="1094"/>
      <c r="E1148" s="1173"/>
      <c r="F1148" s="598">
        <f>(F1143/F1146)+(F1145/F1146)</f>
        <v>12.969999999999999</v>
      </c>
      <c r="G1148" s="582"/>
      <c r="H1148" s="582"/>
      <c r="I1148" s="582"/>
      <c r="J1148" s="582"/>
    </row>
    <row r="1149" spans="2:10" s="577" customFormat="1">
      <c r="B1149" s="1092" t="s">
        <v>1211</v>
      </c>
      <c r="C1149" s="1093"/>
      <c r="D1149" s="1094"/>
      <c r="E1149" s="1174"/>
      <c r="F1149" s="598">
        <f>F1144+F1148</f>
        <v>327.97</v>
      </c>
      <c r="G1149" s="582"/>
      <c r="H1149" s="582"/>
      <c r="I1149" s="582"/>
      <c r="J1149" s="582"/>
    </row>
    <row r="1150" spans="2:10" s="577" customFormat="1">
      <c r="B1150" s="1092" t="s">
        <v>1212</v>
      </c>
      <c r="C1150" s="1093"/>
      <c r="D1150" s="1094"/>
      <c r="E1150" s="1172">
        <v>0</v>
      </c>
      <c r="F1150" s="598">
        <f>F1149*(E1150/100)</f>
        <v>0</v>
      </c>
      <c r="G1150" s="582"/>
      <c r="H1150" s="582"/>
      <c r="I1150" s="582"/>
      <c r="J1150" s="582"/>
    </row>
    <row r="1151" spans="2:10" s="577" customFormat="1">
      <c r="B1151" s="1095" t="s">
        <v>1213</v>
      </c>
      <c r="C1151" s="1096"/>
      <c r="D1151" s="1097"/>
      <c r="E1151" s="1174"/>
      <c r="F1151" s="600">
        <f>F1149+F1150</f>
        <v>327.97</v>
      </c>
      <c r="G1151" s="582"/>
      <c r="H1151" s="582"/>
      <c r="I1151" s="582"/>
      <c r="J1151" s="582"/>
    </row>
  </sheetData>
  <mergeCells count="738">
    <mergeCell ref="J436:J437"/>
    <mergeCell ref="J472:J473"/>
    <mergeCell ref="J508:J509"/>
    <mergeCell ref="J544:J545"/>
    <mergeCell ref="J581:J582"/>
    <mergeCell ref="J696:J697"/>
    <mergeCell ref="J698:J700"/>
    <mergeCell ref="J701:J703"/>
    <mergeCell ref="J704:J706"/>
    <mergeCell ref="I436:I437"/>
    <mergeCell ref="I472:I473"/>
    <mergeCell ref="I508:I509"/>
    <mergeCell ref="I544:I545"/>
    <mergeCell ref="I581:I582"/>
    <mergeCell ref="I696:I697"/>
    <mergeCell ref="I698:I700"/>
    <mergeCell ref="I701:I703"/>
    <mergeCell ref="I704:I706"/>
    <mergeCell ref="H436:H437"/>
    <mergeCell ref="H472:H473"/>
    <mergeCell ref="H508:H509"/>
    <mergeCell ref="H544:H545"/>
    <mergeCell ref="H581:H582"/>
    <mergeCell ref="H696:H697"/>
    <mergeCell ref="H698:H700"/>
    <mergeCell ref="H701:H703"/>
    <mergeCell ref="H704:H706"/>
    <mergeCell ref="G436:G437"/>
    <mergeCell ref="G472:G473"/>
    <mergeCell ref="G508:G509"/>
    <mergeCell ref="G544:G545"/>
    <mergeCell ref="G581:G582"/>
    <mergeCell ref="G696:G697"/>
    <mergeCell ref="G698:G700"/>
    <mergeCell ref="G701:G703"/>
    <mergeCell ref="G704:G706"/>
    <mergeCell ref="B563:G564"/>
    <mergeCell ref="E1049:E1050"/>
    <mergeCell ref="E1075:E1081"/>
    <mergeCell ref="E1082:E1083"/>
    <mergeCell ref="E1108:E1114"/>
    <mergeCell ref="E1115:E1116"/>
    <mergeCell ref="E1143:E1149"/>
    <mergeCell ref="E1150:E1151"/>
    <mergeCell ref="F436:F437"/>
    <mergeCell ref="F472:F473"/>
    <mergeCell ref="F508:F509"/>
    <mergeCell ref="F544:F545"/>
    <mergeCell ref="F581:F582"/>
    <mergeCell ref="F696:F697"/>
    <mergeCell ref="F698:F700"/>
    <mergeCell ref="F701:F703"/>
    <mergeCell ref="F704:F706"/>
    <mergeCell ref="E913:E919"/>
    <mergeCell ref="E920:E921"/>
    <mergeCell ref="E948:E954"/>
    <mergeCell ref="E955:E956"/>
    <mergeCell ref="E981:E987"/>
    <mergeCell ref="E988:E989"/>
    <mergeCell ref="E1014:E1020"/>
    <mergeCell ref="E1021:E1022"/>
    <mergeCell ref="E1042:E1048"/>
    <mergeCell ref="E508:E509"/>
    <mergeCell ref="E514:E520"/>
    <mergeCell ref="E521:E522"/>
    <mergeCell ref="E544:E545"/>
    <mergeCell ref="E550:E556"/>
    <mergeCell ref="E557:E558"/>
    <mergeCell ref="E581:E582"/>
    <mergeCell ref="E586:E592"/>
    <mergeCell ref="E593:E594"/>
    <mergeCell ref="E380:E381"/>
    <mergeCell ref="E406:E412"/>
    <mergeCell ref="E413:E414"/>
    <mergeCell ref="E436:E437"/>
    <mergeCell ref="E442:E448"/>
    <mergeCell ref="E449:E450"/>
    <mergeCell ref="E472:E473"/>
    <mergeCell ref="E478:E484"/>
    <mergeCell ref="E485:E486"/>
    <mergeCell ref="E196:E202"/>
    <mergeCell ref="E203:E204"/>
    <mergeCell ref="E230:E236"/>
    <mergeCell ref="E237:E238"/>
    <mergeCell ref="E265:E271"/>
    <mergeCell ref="E272:E273"/>
    <mergeCell ref="E300:E306"/>
    <mergeCell ref="E307:E308"/>
    <mergeCell ref="E336:E342"/>
    <mergeCell ref="E25:E31"/>
    <mergeCell ref="E32:E33"/>
    <mergeCell ref="E59:E65"/>
    <mergeCell ref="E66:E67"/>
    <mergeCell ref="E93:E99"/>
    <mergeCell ref="E100:E101"/>
    <mergeCell ref="E128:E134"/>
    <mergeCell ref="E135:E136"/>
    <mergeCell ref="E162:E168"/>
    <mergeCell ref="D436:D437"/>
    <mergeCell ref="D472:D473"/>
    <mergeCell ref="D508:D509"/>
    <mergeCell ref="D544:D545"/>
    <mergeCell ref="D581:D582"/>
    <mergeCell ref="D696:D697"/>
    <mergeCell ref="D698:D700"/>
    <mergeCell ref="D701:D703"/>
    <mergeCell ref="D704:D706"/>
    <mergeCell ref="B1145:D1145"/>
    <mergeCell ref="B1146:D1146"/>
    <mergeCell ref="B1147:D1147"/>
    <mergeCell ref="B1148:D1148"/>
    <mergeCell ref="B1149:D1149"/>
    <mergeCell ref="B1150:D1150"/>
    <mergeCell ref="B1151:D1151"/>
    <mergeCell ref="B436:B437"/>
    <mergeCell ref="B472:B473"/>
    <mergeCell ref="B508:B509"/>
    <mergeCell ref="B544:B545"/>
    <mergeCell ref="B581:B583"/>
    <mergeCell ref="B696:B697"/>
    <mergeCell ref="B698:B700"/>
    <mergeCell ref="B701:B703"/>
    <mergeCell ref="B704:B706"/>
    <mergeCell ref="C436:C437"/>
    <mergeCell ref="C472:C473"/>
    <mergeCell ref="C508:C509"/>
    <mergeCell ref="C544:C545"/>
    <mergeCell ref="C581:C582"/>
    <mergeCell ref="C696:C697"/>
    <mergeCell ref="C698:C700"/>
    <mergeCell ref="C701:C703"/>
    <mergeCell ref="C1128:D1128"/>
    <mergeCell ref="C1129:D1129"/>
    <mergeCell ref="B1130:E1130"/>
    <mergeCell ref="B1135:I1135"/>
    <mergeCell ref="B1139:I1139"/>
    <mergeCell ref="B1141:F1141"/>
    <mergeCell ref="B1142:D1142"/>
    <mergeCell ref="B1143:D1143"/>
    <mergeCell ref="B1144:D1144"/>
    <mergeCell ref="B1110:D1110"/>
    <mergeCell ref="B1111:D1111"/>
    <mergeCell ref="B1112:D1112"/>
    <mergeCell ref="B1113:D1113"/>
    <mergeCell ref="B1114:D1114"/>
    <mergeCell ref="B1115:D1115"/>
    <mergeCell ref="B1116:D1116"/>
    <mergeCell ref="C1126:D1126"/>
    <mergeCell ref="C1127:D1127"/>
    <mergeCell ref="C1093:D1093"/>
    <mergeCell ref="C1094:D1094"/>
    <mergeCell ref="B1095:E1095"/>
    <mergeCell ref="B1100:I1100"/>
    <mergeCell ref="B1104:I1104"/>
    <mergeCell ref="B1106:F1106"/>
    <mergeCell ref="B1107:D1107"/>
    <mergeCell ref="B1108:D1108"/>
    <mergeCell ref="B1109:D1109"/>
    <mergeCell ref="B1077:D1077"/>
    <mergeCell ref="B1078:D1078"/>
    <mergeCell ref="B1079:D1079"/>
    <mergeCell ref="B1080:D1080"/>
    <mergeCell ref="B1081:D1081"/>
    <mergeCell ref="B1082:D1082"/>
    <mergeCell ref="B1083:D1083"/>
    <mergeCell ref="C1091:D1091"/>
    <mergeCell ref="C1092:D1092"/>
    <mergeCell ref="C1060:D1060"/>
    <mergeCell ref="C1061:D1061"/>
    <mergeCell ref="B1062:E1062"/>
    <mergeCell ref="B1067:I1067"/>
    <mergeCell ref="B1071:I1071"/>
    <mergeCell ref="B1073:F1073"/>
    <mergeCell ref="B1074:D1074"/>
    <mergeCell ref="B1075:D1075"/>
    <mergeCell ref="B1076:D1076"/>
    <mergeCell ref="B1044:D1044"/>
    <mergeCell ref="B1045:D1045"/>
    <mergeCell ref="B1046:D1046"/>
    <mergeCell ref="B1047:D1047"/>
    <mergeCell ref="B1048:D1048"/>
    <mergeCell ref="B1049:D1049"/>
    <mergeCell ref="B1050:D1050"/>
    <mergeCell ref="C1058:D1058"/>
    <mergeCell ref="C1059:D1059"/>
    <mergeCell ref="B1028:K1028"/>
    <mergeCell ref="B1032:J1032"/>
    <mergeCell ref="B1033:K1033"/>
    <mergeCell ref="B1038:J1038"/>
    <mergeCell ref="B1039:K1039"/>
    <mergeCell ref="B1040:F1040"/>
    <mergeCell ref="B1041:D1041"/>
    <mergeCell ref="B1042:D1042"/>
    <mergeCell ref="B1043:D1043"/>
    <mergeCell ref="B1018:D1018"/>
    <mergeCell ref="B1019:D1019"/>
    <mergeCell ref="B1020:D1020"/>
    <mergeCell ref="B1021:D1021"/>
    <mergeCell ref="B1022:D1022"/>
    <mergeCell ref="B1026:H1026"/>
    <mergeCell ref="I1026:K1026"/>
    <mergeCell ref="B1027:C1027"/>
    <mergeCell ref="D1027:E1027"/>
    <mergeCell ref="F1027:H1027"/>
    <mergeCell ref="I1027:K1027"/>
    <mergeCell ref="B1001:E1001"/>
    <mergeCell ref="B1006:I1006"/>
    <mergeCell ref="B1010:I1010"/>
    <mergeCell ref="B1012:F1012"/>
    <mergeCell ref="B1013:D1013"/>
    <mergeCell ref="B1014:D1014"/>
    <mergeCell ref="B1015:D1015"/>
    <mergeCell ref="B1016:D1016"/>
    <mergeCell ref="B1017:D1017"/>
    <mergeCell ref="B985:D985"/>
    <mergeCell ref="B986:D986"/>
    <mergeCell ref="B987:D987"/>
    <mergeCell ref="B988:D988"/>
    <mergeCell ref="B989:D989"/>
    <mergeCell ref="C997:D997"/>
    <mergeCell ref="C998:D998"/>
    <mergeCell ref="C999:D999"/>
    <mergeCell ref="C1000:D1000"/>
    <mergeCell ref="B968:E968"/>
    <mergeCell ref="B973:I973"/>
    <mergeCell ref="B977:I977"/>
    <mergeCell ref="B979:F979"/>
    <mergeCell ref="B980:D980"/>
    <mergeCell ref="B981:D981"/>
    <mergeCell ref="B982:D982"/>
    <mergeCell ref="B983:D983"/>
    <mergeCell ref="B984:D984"/>
    <mergeCell ref="B952:D952"/>
    <mergeCell ref="B953:D953"/>
    <mergeCell ref="B954:D954"/>
    <mergeCell ref="B955:D955"/>
    <mergeCell ref="B956:D956"/>
    <mergeCell ref="C964:D964"/>
    <mergeCell ref="C965:D965"/>
    <mergeCell ref="C966:D966"/>
    <mergeCell ref="C967:D967"/>
    <mergeCell ref="B941:K941"/>
    <mergeCell ref="B944:J944"/>
    <mergeCell ref="B945:K945"/>
    <mergeCell ref="B946:F946"/>
    <mergeCell ref="B947:D947"/>
    <mergeCell ref="B948:D948"/>
    <mergeCell ref="B949:D949"/>
    <mergeCell ref="B950:D950"/>
    <mergeCell ref="B951:D951"/>
    <mergeCell ref="B926:F926"/>
    <mergeCell ref="B927:C927"/>
    <mergeCell ref="D927:E927"/>
    <mergeCell ref="C931:D931"/>
    <mergeCell ref="C932:D932"/>
    <mergeCell ref="C933:D933"/>
    <mergeCell ref="C934:D934"/>
    <mergeCell ref="B936:K936"/>
    <mergeCell ref="B940:J940"/>
    <mergeCell ref="B913:D913"/>
    <mergeCell ref="B914:D914"/>
    <mergeCell ref="B915:D915"/>
    <mergeCell ref="B916:D916"/>
    <mergeCell ref="B917:D917"/>
    <mergeCell ref="B918:D918"/>
    <mergeCell ref="B919:D919"/>
    <mergeCell ref="B920:D920"/>
    <mergeCell ref="B921:D921"/>
    <mergeCell ref="C898:D898"/>
    <mergeCell ref="C899:D899"/>
    <mergeCell ref="B901:K901"/>
    <mergeCell ref="B905:J905"/>
    <mergeCell ref="B906:K906"/>
    <mergeCell ref="B909:J909"/>
    <mergeCell ref="B910:K910"/>
    <mergeCell ref="B911:F911"/>
    <mergeCell ref="B912:D912"/>
    <mergeCell ref="B881:D881"/>
    <mergeCell ref="B882:D882"/>
    <mergeCell ref="B883:D883"/>
    <mergeCell ref="B885:D885"/>
    <mergeCell ref="B891:F891"/>
    <mergeCell ref="B892:C892"/>
    <mergeCell ref="D892:E892"/>
    <mergeCell ref="C896:D896"/>
    <mergeCell ref="C897:D897"/>
    <mergeCell ref="B863:D863"/>
    <mergeCell ref="B864:D864"/>
    <mergeCell ref="B865:D865"/>
    <mergeCell ref="B870:F870"/>
    <mergeCell ref="B871:C871"/>
    <mergeCell ref="D871:E871"/>
    <mergeCell ref="F871:H871"/>
    <mergeCell ref="B877:F877"/>
    <mergeCell ref="B880:C880"/>
    <mergeCell ref="E857:E863"/>
    <mergeCell ref="E864:E865"/>
    <mergeCell ref="C853:I853"/>
    <mergeCell ref="B855:F855"/>
    <mergeCell ref="B856:D856"/>
    <mergeCell ref="B857:D857"/>
    <mergeCell ref="B858:D858"/>
    <mergeCell ref="B859:D859"/>
    <mergeCell ref="B860:D860"/>
    <mergeCell ref="B861:D861"/>
    <mergeCell ref="B862:D862"/>
    <mergeCell ref="B827:D827"/>
    <mergeCell ref="B828:D828"/>
    <mergeCell ref="B829:D829"/>
    <mergeCell ref="C840:D840"/>
    <mergeCell ref="C841:D841"/>
    <mergeCell ref="C842:D842"/>
    <mergeCell ref="C843:D843"/>
    <mergeCell ref="B844:E844"/>
    <mergeCell ref="B849:I849"/>
    <mergeCell ref="E821:E827"/>
    <mergeCell ref="E828:E829"/>
    <mergeCell ref="C817:I817"/>
    <mergeCell ref="B819:F819"/>
    <mergeCell ref="B820:D820"/>
    <mergeCell ref="B821:D821"/>
    <mergeCell ref="B822:D822"/>
    <mergeCell ref="B823:D823"/>
    <mergeCell ref="B824:D824"/>
    <mergeCell ref="B825:D825"/>
    <mergeCell ref="B826:D826"/>
    <mergeCell ref="B791:D791"/>
    <mergeCell ref="B792:D792"/>
    <mergeCell ref="B797:F797"/>
    <mergeCell ref="C804:D804"/>
    <mergeCell ref="C805:D805"/>
    <mergeCell ref="C806:D806"/>
    <mergeCell ref="C807:D807"/>
    <mergeCell ref="B808:E808"/>
    <mergeCell ref="B813:I813"/>
    <mergeCell ref="E791:E792"/>
    <mergeCell ref="B782:F782"/>
    <mergeCell ref="B783:D783"/>
    <mergeCell ref="B784:D784"/>
    <mergeCell ref="B785:D785"/>
    <mergeCell ref="B786:D786"/>
    <mergeCell ref="B787:D787"/>
    <mergeCell ref="B788:D788"/>
    <mergeCell ref="B789:D789"/>
    <mergeCell ref="B790:D790"/>
    <mergeCell ref="E784:E790"/>
    <mergeCell ref="B755:D755"/>
    <mergeCell ref="B756:D756"/>
    <mergeCell ref="C766:D766"/>
    <mergeCell ref="C767:D767"/>
    <mergeCell ref="C768:D768"/>
    <mergeCell ref="C769:D769"/>
    <mergeCell ref="B770:E770"/>
    <mergeCell ref="B774:I774"/>
    <mergeCell ref="B780:I780"/>
    <mergeCell ref="E755:E756"/>
    <mergeCell ref="B746:F746"/>
    <mergeCell ref="B747:D747"/>
    <mergeCell ref="B748:D748"/>
    <mergeCell ref="B749:D749"/>
    <mergeCell ref="B750:D750"/>
    <mergeCell ref="B751:D751"/>
    <mergeCell ref="B752:D752"/>
    <mergeCell ref="B753:D753"/>
    <mergeCell ref="B754:D754"/>
    <mergeCell ref="E748:E754"/>
    <mergeCell ref="B693:I693"/>
    <mergeCell ref="B707:I707"/>
    <mergeCell ref="C732:D732"/>
    <mergeCell ref="C733:D733"/>
    <mergeCell ref="C734:D734"/>
    <mergeCell ref="C735:D735"/>
    <mergeCell ref="B736:E736"/>
    <mergeCell ref="B740:I740"/>
    <mergeCell ref="C744:I744"/>
    <mergeCell ref="C704:C706"/>
    <mergeCell ref="E696:E697"/>
    <mergeCell ref="E698:E700"/>
    <mergeCell ref="E701:E703"/>
    <mergeCell ref="E704:E706"/>
    <mergeCell ref="B664:D664"/>
    <mergeCell ref="B665:D665"/>
    <mergeCell ref="B666:D666"/>
    <mergeCell ref="B667:D667"/>
    <mergeCell ref="B672:F672"/>
    <mergeCell ref="C685:D685"/>
    <mergeCell ref="C686:D686"/>
    <mergeCell ref="C687:D687"/>
    <mergeCell ref="B688:E688"/>
    <mergeCell ref="E659:E665"/>
    <mergeCell ref="E666:E667"/>
    <mergeCell ref="B651:I651"/>
    <mergeCell ref="B655:I655"/>
    <mergeCell ref="B657:F657"/>
    <mergeCell ref="B658:D658"/>
    <mergeCell ref="B659:D659"/>
    <mergeCell ref="B660:D660"/>
    <mergeCell ref="B661:D661"/>
    <mergeCell ref="B662:D662"/>
    <mergeCell ref="B663:D663"/>
    <mergeCell ref="B629:D629"/>
    <mergeCell ref="B630:D630"/>
    <mergeCell ref="B631:D631"/>
    <mergeCell ref="B632:D632"/>
    <mergeCell ref="C642:D642"/>
    <mergeCell ref="C643:D643"/>
    <mergeCell ref="C644:D644"/>
    <mergeCell ref="C645:D645"/>
    <mergeCell ref="B646:E646"/>
    <mergeCell ref="E624:E630"/>
    <mergeCell ref="E631:E632"/>
    <mergeCell ref="B616:I616"/>
    <mergeCell ref="B620:I620"/>
    <mergeCell ref="B622:F622"/>
    <mergeCell ref="B623:D623"/>
    <mergeCell ref="B624:D624"/>
    <mergeCell ref="B625:D625"/>
    <mergeCell ref="B626:D626"/>
    <mergeCell ref="B627:D627"/>
    <mergeCell ref="B628:D628"/>
    <mergeCell ref="B592:D592"/>
    <mergeCell ref="B593:D593"/>
    <mergeCell ref="B594:D594"/>
    <mergeCell ref="B599:F599"/>
    <mergeCell ref="C606:D606"/>
    <mergeCell ref="C607:D607"/>
    <mergeCell ref="C608:D608"/>
    <mergeCell ref="C609:D609"/>
    <mergeCell ref="B610:E610"/>
    <mergeCell ref="C583:I583"/>
    <mergeCell ref="B584:F584"/>
    <mergeCell ref="B585:D585"/>
    <mergeCell ref="B586:D586"/>
    <mergeCell ref="B587:D587"/>
    <mergeCell ref="B588:D588"/>
    <mergeCell ref="B589:D589"/>
    <mergeCell ref="B590:D590"/>
    <mergeCell ref="B591:D591"/>
    <mergeCell ref="B556:D556"/>
    <mergeCell ref="B557:D557"/>
    <mergeCell ref="B558:D558"/>
    <mergeCell ref="C569:D569"/>
    <mergeCell ref="C570:D570"/>
    <mergeCell ref="C571:D571"/>
    <mergeCell ref="C572:D572"/>
    <mergeCell ref="B573:E573"/>
    <mergeCell ref="B578:I578"/>
    <mergeCell ref="B546:I546"/>
    <mergeCell ref="B548:F548"/>
    <mergeCell ref="B549:D549"/>
    <mergeCell ref="B550:D550"/>
    <mergeCell ref="B551:D551"/>
    <mergeCell ref="B552:D552"/>
    <mergeCell ref="B553:D553"/>
    <mergeCell ref="B554:D554"/>
    <mergeCell ref="B555:D555"/>
    <mergeCell ref="B520:D520"/>
    <mergeCell ref="B521:D521"/>
    <mergeCell ref="B522:D522"/>
    <mergeCell ref="C532:D532"/>
    <mergeCell ref="C533:D533"/>
    <mergeCell ref="C534:D534"/>
    <mergeCell ref="C535:D535"/>
    <mergeCell ref="B536:E536"/>
    <mergeCell ref="B541:I541"/>
    <mergeCell ref="B510:I510"/>
    <mergeCell ref="B512:F512"/>
    <mergeCell ref="B513:D513"/>
    <mergeCell ref="B514:D514"/>
    <mergeCell ref="B515:D515"/>
    <mergeCell ref="B516:D516"/>
    <mergeCell ref="B517:D517"/>
    <mergeCell ref="B518:D518"/>
    <mergeCell ref="B519:D519"/>
    <mergeCell ref="B484:D484"/>
    <mergeCell ref="B485:D485"/>
    <mergeCell ref="B486:D486"/>
    <mergeCell ref="C496:D496"/>
    <mergeCell ref="C497:D497"/>
    <mergeCell ref="C498:D498"/>
    <mergeCell ref="C499:D499"/>
    <mergeCell ref="B500:E500"/>
    <mergeCell ref="B505:I505"/>
    <mergeCell ref="B474:I474"/>
    <mergeCell ref="B476:F476"/>
    <mergeCell ref="B477:D477"/>
    <mergeCell ref="B478:D478"/>
    <mergeCell ref="B479:D479"/>
    <mergeCell ref="B480:D480"/>
    <mergeCell ref="B481:D481"/>
    <mergeCell ref="B482:D482"/>
    <mergeCell ref="B483:D483"/>
    <mergeCell ref="B448:D448"/>
    <mergeCell ref="B449:D449"/>
    <mergeCell ref="B450:D450"/>
    <mergeCell ref="C460:D460"/>
    <mergeCell ref="C461:D461"/>
    <mergeCell ref="C462:D462"/>
    <mergeCell ref="C463:D463"/>
    <mergeCell ref="B464:E464"/>
    <mergeCell ref="B469:I469"/>
    <mergeCell ref="B438:I438"/>
    <mergeCell ref="B440:F440"/>
    <mergeCell ref="B441:D441"/>
    <mergeCell ref="B442:D442"/>
    <mergeCell ref="B443:D443"/>
    <mergeCell ref="B444:D444"/>
    <mergeCell ref="B445:D445"/>
    <mergeCell ref="B446:D446"/>
    <mergeCell ref="B447:D447"/>
    <mergeCell ref="B412:D412"/>
    <mergeCell ref="B413:D413"/>
    <mergeCell ref="B414:D414"/>
    <mergeCell ref="C424:D424"/>
    <mergeCell ref="C425:D425"/>
    <mergeCell ref="C426:D426"/>
    <mergeCell ref="C427:D427"/>
    <mergeCell ref="B428:E428"/>
    <mergeCell ref="B433:I433"/>
    <mergeCell ref="B398:I398"/>
    <mergeCell ref="B404:F404"/>
    <mergeCell ref="B405:D405"/>
    <mergeCell ref="B406:D406"/>
    <mergeCell ref="B407:D407"/>
    <mergeCell ref="B408:D408"/>
    <mergeCell ref="B409:D409"/>
    <mergeCell ref="B410:D410"/>
    <mergeCell ref="B411:D411"/>
    <mergeCell ref="B377:D377"/>
    <mergeCell ref="B378:D378"/>
    <mergeCell ref="B379:D379"/>
    <mergeCell ref="B380:D380"/>
    <mergeCell ref="B381:D381"/>
    <mergeCell ref="C390:D390"/>
    <mergeCell ref="C391:D391"/>
    <mergeCell ref="C392:D392"/>
    <mergeCell ref="C393:D393"/>
    <mergeCell ref="B360:E360"/>
    <mergeCell ref="B365:I365"/>
    <mergeCell ref="B369:I369"/>
    <mergeCell ref="B371:F371"/>
    <mergeCell ref="B372:D372"/>
    <mergeCell ref="B373:D373"/>
    <mergeCell ref="B374:D374"/>
    <mergeCell ref="B375:D375"/>
    <mergeCell ref="B376:D376"/>
    <mergeCell ref="E373:E379"/>
    <mergeCell ref="B341:D341"/>
    <mergeCell ref="B342:D342"/>
    <mergeCell ref="B343:D343"/>
    <mergeCell ref="B344:D344"/>
    <mergeCell ref="B349:F349"/>
    <mergeCell ref="C356:D356"/>
    <mergeCell ref="C357:D357"/>
    <mergeCell ref="C358:D358"/>
    <mergeCell ref="C359:D359"/>
    <mergeCell ref="E343:E344"/>
    <mergeCell ref="B328:I328"/>
    <mergeCell ref="B332:I332"/>
    <mergeCell ref="B334:F334"/>
    <mergeCell ref="B335:D335"/>
    <mergeCell ref="B336:D336"/>
    <mergeCell ref="B337:D337"/>
    <mergeCell ref="B338:D338"/>
    <mergeCell ref="B339:D339"/>
    <mergeCell ref="B340:D340"/>
    <mergeCell ref="B306:D306"/>
    <mergeCell ref="B307:D307"/>
    <mergeCell ref="B308:D308"/>
    <mergeCell ref="B312:F312"/>
    <mergeCell ref="C319:D319"/>
    <mergeCell ref="C320:D320"/>
    <mergeCell ref="C321:D321"/>
    <mergeCell ref="C322:D322"/>
    <mergeCell ref="B323:E323"/>
    <mergeCell ref="B296:I296"/>
    <mergeCell ref="B298:F298"/>
    <mergeCell ref="B299:D299"/>
    <mergeCell ref="B300:D300"/>
    <mergeCell ref="B301:D301"/>
    <mergeCell ref="B302:D302"/>
    <mergeCell ref="B303:D303"/>
    <mergeCell ref="B304:D304"/>
    <mergeCell ref="B305:D305"/>
    <mergeCell ref="B272:D272"/>
    <mergeCell ref="B273:D273"/>
    <mergeCell ref="B276:F276"/>
    <mergeCell ref="C284:D284"/>
    <mergeCell ref="C285:D285"/>
    <mergeCell ref="C286:D286"/>
    <mergeCell ref="C287:D287"/>
    <mergeCell ref="B288:E288"/>
    <mergeCell ref="B292:I292"/>
    <mergeCell ref="B263:F263"/>
    <mergeCell ref="B264:D264"/>
    <mergeCell ref="B265:D265"/>
    <mergeCell ref="B266:D266"/>
    <mergeCell ref="B267:D267"/>
    <mergeCell ref="B268:D268"/>
    <mergeCell ref="B269:D269"/>
    <mergeCell ref="B270:D270"/>
    <mergeCell ref="B271:D271"/>
    <mergeCell ref="B238:D238"/>
    <mergeCell ref="B241:G241"/>
    <mergeCell ref="C249:D249"/>
    <mergeCell ref="C250:D250"/>
    <mergeCell ref="C251:D251"/>
    <mergeCell ref="C252:D252"/>
    <mergeCell ref="B253:E253"/>
    <mergeCell ref="B257:I257"/>
    <mergeCell ref="B261:I261"/>
    <mergeCell ref="B229:D229"/>
    <mergeCell ref="B230:D230"/>
    <mergeCell ref="B231:D231"/>
    <mergeCell ref="B232:D232"/>
    <mergeCell ref="B233:D233"/>
    <mergeCell ref="B234:D234"/>
    <mergeCell ref="B235:D235"/>
    <mergeCell ref="B236:D236"/>
    <mergeCell ref="B237:D237"/>
    <mergeCell ref="B204:D204"/>
    <mergeCell ref="C214:D214"/>
    <mergeCell ref="C215:D215"/>
    <mergeCell ref="C216:D216"/>
    <mergeCell ref="C217:D217"/>
    <mergeCell ref="B218:E218"/>
    <mergeCell ref="B222:I222"/>
    <mergeCell ref="B226:I226"/>
    <mergeCell ref="B228:F228"/>
    <mergeCell ref="B195:D195"/>
    <mergeCell ref="B196:D196"/>
    <mergeCell ref="B197:D197"/>
    <mergeCell ref="B198:D198"/>
    <mergeCell ref="B199:D199"/>
    <mergeCell ref="B200:D200"/>
    <mergeCell ref="B201:D201"/>
    <mergeCell ref="B202:D202"/>
    <mergeCell ref="B203:D203"/>
    <mergeCell ref="B170:D170"/>
    <mergeCell ref="C180:D180"/>
    <mergeCell ref="C181:D181"/>
    <mergeCell ref="C182:D182"/>
    <mergeCell ref="C183:D183"/>
    <mergeCell ref="B184:E184"/>
    <mergeCell ref="B188:I188"/>
    <mergeCell ref="B192:I192"/>
    <mergeCell ref="B194:F194"/>
    <mergeCell ref="E169:E170"/>
    <mergeCell ref="B161:D161"/>
    <mergeCell ref="B162:D162"/>
    <mergeCell ref="B163:D163"/>
    <mergeCell ref="B164:D164"/>
    <mergeCell ref="B165:D165"/>
    <mergeCell ref="B166:D166"/>
    <mergeCell ref="B167:D167"/>
    <mergeCell ref="B168:D168"/>
    <mergeCell ref="B169:D169"/>
    <mergeCell ref="B136:D136"/>
    <mergeCell ref="C146:D146"/>
    <mergeCell ref="C147:D147"/>
    <mergeCell ref="C148:D148"/>
    <mergeCell ref="C149:D149"/>
    <mergeCell ref="B150:E150"/>
    <mergeCell ref="B154:I154"/>
    <mergeCell ref="B158:I158"/>
    <mergeCell ref="B160:F160"/>
    <mergeCell ref="B127:D127"/>
    <mergeCell ref="B128:D128"/>
    <mergeCell ref="B129:D129"/>
    <mergeCell ref="B130:D130"/>
    <mergeCell ref="B131:D131"/>
    <mergeCell ref="B132:D132"/>
    <mergeCell ref="B133:D133"/>
    <mergeCell ref="B134:D134"/>
    <mergeCell ref="B135:D135"/>
    <mergeCell ref="B101:D101"/>
    <mergeCell ref="C111:D111"/>
    <mergeCell ref="C112:D112"/>
    <mergeCell ref="C113:D113"/>
    <mergeCell ref="C114:D114"/>
    <mergeCell ref="B115:E115"/>
    <mergeCell ref="B120:I120"/>
    <mergeCell ref="B124:I124"/>
    <mergeCell ref="B126:F126"/>
    <mergeCell ref="B92:D92"/>
    <mergeCell ref="B93:D93"/>
    <mergeCell ref="B94:D94"/>
    <mergeCell ref="B95:D95"/>
    <mergeCell ref="B96:D96"/>
    <mergeCell ref="B97:D97"/>
    <mergeCell ref="B98:D98"/>
    <mergeCell ref="B99:D99"/>
    <mergeCell ref="B100:D100"/>
    <mergeCell ref="B67:D67"/>
    <mergeCell ref="C77:D77"/>
    <mergeCell ref="C78:D78"/>
    <mergeCell ref="C79:D79"/>
    <mergeCell ref="C80:D80"/>
    <mergeCell ref="B81:E81"/>
    <mergeCell ref="B85:J85"/>
    <mergeCell ref="B89:J89"/>
    <mergeCell ref="B91:F91"/>
    <mergeCell ref="B58:D58"/>
    <mergeCell ref="B59:D59"/>
    <mergeCell ref="B60:D60"/>
    <mergeCell ref="B61:D61"/>
    <mergeCell ref="B62:D62"/>
    <mergeCell ref="B63:D63"/>
    <mergeCell ref="B64:D64"/>
    <mergeCell ref="B65:D65"/>
    <mergeCell ref="B66:D66"/>
    <mergeCell ref="B33:D33"/>
    <mergeCell ref="C43:D43"/>
    <mergeCell ref="C44:D44"/>
    <mergeCell ref="C45:D45"/>
    <mergeCell ref="C46:D46"/>
    <mergeCell ref="B47:E47"/>
    <mergeCell ref="B51:I51"/>
    <mergeCell ref="B55:I55"/>
    <mergeCell ref="B57:F57"/>
    <mergeCell ref="B24:D24"/>
    <mergeCell ref="B25:D25"/>
    <mergeCell ref="B26:D26"/>
    <mergeCell ref="B27:D27"/>
    <mergeCell ref="B28:D28"/>
    <mergeCell ref="B29:D29"/>
    <mergeCell ref="B30:D30"/>
    <mergeCell ref="B31:D31"/>
    <mergeCell ref="B32:D32"/>
    <mergeCell ref="B2:F2"/>
    <mergeCell ref="C9:D9"/>
    <mergeCell ref="C10:D10"/>
    <mergeCell ref="C11:D11"/>
    <mergeCell ref="C12:D12"/>
    <mergeCell ref="B13:E13"/>
    <mergeCell ref="B17:I17"/>
    <mergeCell ref="B21:I21"/>
    <mergeCell ref="B23:F23"/>
  </mergeCells>
  <pageMargins left="0.51180555555555596" right="0.51180555555555596" top="0.78680555555555598" bottom="0.78680555555555598" header="0.31388888888888899" footer="0.31388888888888899"/>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35"/>
  <sheetViews>
    <sheetView workbookViewId="0">
      <selection activeCell="D5" sqref="D5"/>
    </sheetView>
  </sheetViews>
  <sheetFormatPr defaultColWidth="9.140625" defaultRowHeight="15"/>
  <cols>
    <col min="2" max="2" width="79.140625" style="572" customWidth="1"/>
    <col min="3" max="3" width="27.42578125" style="573" customWidth="1"/>
    <col min="5" max="5" width="12.85546875"/>
    <col min="9" max="9" width="10.5703125"/>
  </cols>
  <sheetData>
    <row r="2" spans="1:11">
      <c r="A2" t="s">
        <v>1436</v>
      </c>
      <c r="B2" s="572" t="s">
        <v>1437</v>
      </c>
      <c r="C2" s="573" t="s">
        <v>1438</v>
      </c>
      <c r="D2" t="s">
        <v>1439</v>
      </c>
      <c r="E2" t="s">
        <v>1440</v>
      </c>
      <c r="F2" t="s">
        <v>1441</v>
      </c>
    </row>
    <row r="3" spans="1:11">
      <c r="J3" s="477" t="s">
        <v>1442</v>
      </c>
      <c r="K3" s="477" t="s">
        <v>1443</v>
      </c>
    </row>
    <row r="4" spans="1:11" ht="30">
      <c r="A4" s="574" t="s">
        <v>1127</v>
      </c>
      <c r="B4" s="572" t="s">
        <v>1129</v>
      </c>
      <c r="C4" s="573">
        <f>VLOOKUP(A4,'Planilha Orçamentária'!$B$20:$H$430,7,FALSE)</f>
        <v>176250.36000000002</v>
      </c>
      <c r="D4" s="575">
        <f ca="1">C4/$C$335</f>
        <v>4.6261798215699076E-2</v>
      </c>
      <c r="E4" s="575">
        <f ca="1">D4</f>
        <v>4.6261798215699076E-2</v>
      </c>
      <c r="F4" s="574" t="str">
        <f ca="1">IF(E4&lt;=$K$4,"A",IF(E4&lt;=$K$5,"B","C"))</f>
        <v>A</v>
      </c>
      <c r="J4" s="477" t="s">
        <v>1444</v>
      </c>
      <c r="K4" s="576">
        <v>0.8</v>
      </c>
    </row>
    <row r="5" spans="1:11" ht="45">
      <c r="A5" s="574" t="s">
        <v>158</v>
      </c>
      <c r="B5" s="572" t="s">
        <v>160</v>
      </c>
      <c r="C5" s="573">
        <f ca="1">VLOOKUP(A5,'Planilha Orçamentária'!$B$20:$H$430,7,FALSE)</f>
        <v>137798.25</v>
      </c>
      <c r="D5" s="575">
        <f t="shared" ref="D5:D68" ca="1" si="0">C5/$C$335</f>
        <v>3.6168974837705044E-2</v>
      </c>
      <c r="E5" s="575">
        <f ca="1">D5+E4</f>
        <v>8.2430773053404127E-2</v>
      </c>
      <c r="F5" s="574" t="str">
        <f t="shared" ref="F5:F68" ca="1" si="1">IF(E5&lt;=$K$4,"A",IF(E5&lt;=$K$5,"B","C"))</f>
        <v>A</v>
      </c>
      <c r="J5" s="477" t="s">
        <v>1445</v>
      </c>
      <c r="K5" s="576">
        <v>0.95</v>
      </c>
    </row>
    <row r="6" spans="1:11" ht="45">
      <c r="A6" s="574" t="s">
        <v>113</v>
      </c>
      <c r="B6" s="572" t="s">
        <v>115</v>
      </c>
      <c r="C6" s="573">
        <f>VLOOKUP(A6,'Planilha Orçamentária'!$B$20:$H$430,7,FALSE)</f>
        <v>132920.77332000004</v>
      </c>
      <c r="D6" s="575">
        <f t="shared" ca="1" si="0"/>
        <v>3.4888745725140752E-2</v>
      </c>
      <c r="E6" s="575">
        <f t="shared" ref="E6:E69" ca="1" si="2">D6+E5</f>
        <v>0.11731951877854488</v>
      </c>
      <c r="F6" s="574" t="str">
        <f t="shared" ca="1" si="1"/>
        <v>A</v>
      </c>
      <c r="J6" s="477" t="s">
        <v>1446</v>
      </c>
      <c r="K6" s="576">
        <v>1</v>
      </c>
    </row>
    <row r="7" spans="1:11" ht="30">
      <c r="A7" s="574" t="s">
        <v>123</v>
      </c>
      <c r="B7" s="572" t="s">
        <v>125</v>
      </c>
      <c r="C7" s="573">
        <f>VLOOKUP(A7,'Planilha Orçamentária'!$B$20:$H$430,7,FALSE)</f>
        <v>132725.84358449996</v>
      </c>
      <c r="D7" s="575">
        <f t="shared" ca="1" si="0"/>
        <v>3.4837581006442055E-2</v>
      </c>
      <c r="E7" s="575">
        <f t="shared" ca="1" si="2"/>
        <v>0.15215709978498693</v>
      </c>
      <c r="F7" s="574" t="str">
        <f t="shared" ca="1" si="1"/>
        <v>A</v>
      </c>
    </row>
    <row r="8" spans="1:11" ht="30">
      <c r="A8" s="574" t="s">
        <v>71</v>
      </c>
      <c r="B8" s="572" t="s">
        <v>73</v>
      </c>
      <c r="C8" s="573">
        <f>VLOOKUP(A8,'Planilha Orçamentária'!$B$20:$H$430,7,FALSE)</f>
        <v>132059.88</v>
      </c>
      <c r="D8" s="575">
        <f t="shared" ca="1" si="0"/>
        <v>3.4662780382119132E-2</v>
      </c>
      <c r="E8" s="575">
        <f t="shared" ca="1" si="2"/>
        <v>0.18681988016710604</v>
      </c>
      <c r="F8" s="574" t="str">
        <f t="shared" ca="1" si="1"/>
        <v>A</v>
      </c>
    </row>
    <row r="9" spans="1:11" ht="45">
      <c r="A9" s="574" t="s">
        <v>219</v>
      </c>
      <c r="B9" s="572" t="s">
        <v>221</v>
      </c>
      <c r="C9" s="573">
        <f>VLOOKUP(A9,'Planilha Orçamentária'!$B$20:$H$430,7,FALSE)</f>
        <v>129738.63826000002</v>
      </c>
      <c r="D9" s="575">
        <f t="shared" ca="1" si="0"/>
        <v>3.4053506069228433E-2</v>
      </c>
      <c r="E9" s="575">
        <f t="shared" ca="1" si="2"/>
        <v>0.22087338623633448</v>
      </c>
      <c r="F9" s="574" t="str">
        <f t="shared" ca="1" si="1"/>
        <v>A</v>
      </c>
    </row>
    <row r="10" spans="1:11" ht="30">
      <c r="A10" s="574" t="s">
        <v>196</v>
      </c>
      <c r="B10" s="572" t="s">
        <v>198</v>
      </c>
      <c r="C10" s="573">
        <f>VLOOKUP(A10,'Planilha Orçamentária'!$B$20:$H$430,7,FALSE)</f>
        <v>100962.36176000001</v>
      </c>
      <c r="D10" s="575">
        <f t="shared" ca="1" si="0"/>
        <v>2.6500373713401398E-2</v>
      </c>
      <c r="E10" s="575">
        <f t="shared" ca="1" si="2"/>
        <v>0.24737375994973587</v>
      </c>
      <c r="F10" s="574" t="str">
        <f t="shared" ca="1" si="1"/>
        <v>A</v>
      </c>
    </row>
    <row r="11" spans="1:11" ht="30">
      <c r="A11" s="574" t="s">
        <v>116</v>
      </c>
      <c r="B11" s="572" t="s">
        <v>98</v>
      </c>
      <c r="C11" s="573">
        <f>VLOOKUP(A11,'Planilha Orçamentária'!$B$20:$H$430,7,FALSE)</f>
        <v>94586.298892800012</v>
      </c>
      <c r="D11" s="575">
        <f t="shared" ca="1" si="0"/>
        <v>2.4826799067806243E-2</v>
      </c>
      <c r="E11" s="575">
        <f t="shared" ca="1" si="2"/>
        <v>0.27220055901754214</v>
      </c>
      <c r="F11" s="574" t="str">
        <f t="shared" ca="1" si="1"/>
        <v>A</v>
      </c>
    </row>
    <row r="12" spans="1:11" ht="45">
      <c r="A12" s="574" t="s">
        <v>309</v>
      </c>
      <c r="B12" s="572" t="s">
        <v>310</v>
      </c>
      <c r="C12" s="573">
        <f ca="1">VLOOKUP(A12,'Planilha Orçamentária'!$B$20:$H$430,7,FALSE)</f>
        <v>82498.046400000007</v>
      </c>
      <c r="D12" s="575">
        <f t="shared" ca="1" si="0"/>
        <v>2.1653901732434363E-2</v>
      </c>
      <c r="E12" s="575">
        <f t="shared" ca="1" si="2"/>
        <v>0.29385446074997651</v>
      </c>
      <c r="F12" s="574" t="str">
        <f t="shared" ca="1" si="1"/>
        <v>A</v>
      </c>
    </row>
    <row r="13" spans="1:11" ht="45">
      <c r="A13" s="574" t="s">
        <v>278</v>
      </c>
      <c r="B13" s="572" t="s">
        <v>280</v>
      </c>
      <c r="C13" s="573">
        <f ca="1">VLOOKUP(A13,'Planilha Orçamentária'!$B$20:$H$430,7,FALSE)</f>
        <v>81781.255000000005</v>
      </c>
      <c r="D13" s="575">
        <f t="shared" ca="1" si="0"/>
        <v>2.1465759937379029E-2</v>
      </c>
      <c r="E13" s="575">
        <f t="shared" ca="1" si="2"/>
        <v>0.31532022068735555</v>
      </c>
      <c r="F13" s="574" t="str">
        <f t="shared" ca="1" si="1"/>
        <v>A</v>
      </c>
    </row>
    <row r="14" spans="1:11">
      <c r="A14" s="574" t="s">
        <v>311</v>
      </c>
      <c r="B14" s="572" t="s">
        <v>1447</v>
      </c>
      <c r="C14" s="573">
        <f ca="1">VLOOKUP(A14,'Planilha Orçamentária'!$B$20:$H$430,7,FALSE)</f>
        <v>80958.796799999996</v>
      </c>
      <c r="D14" s="575">
        <f t="shared" ca="1" si="0"/>
        <v>2.1249882958238406E-2</v>
      </c>
      <c r="E14" s="575">
        <f t="shared" ca="1" si="2"/>
        <v>0.33657010364559398</v>
      </c>
      <c r="F14" s="574" t="str">
        <f t="shared" ca="1" si="1"/>
        <v>A</v>
      </c>
    </row>
    <row r="15" spans="1:11" ht="45">
      <c r="A15" s="574" t="s">
        <v>290</v>
      </c>
      <c r="B15" s="572" t="s">
        <v>292</v>
      </c>
      <c r="C15" s="573">
        <f>VLOOKUP(A15,'Planilha Orçamentária'!$B$20:$H$430,7,FALSE)</f>
        <v>77000.782320000013</v>
      </c>
      <c r="D15" s="575">
        <f t="shared" ca="1" si="0"/>
        <v>2.0210992216633257E-2</v>
      </c>
      <c r="E15" s="575">
        <f t="shared" ca="1" si="2"/>
        <v>0.35678109586222723</v>
      </c>
      <c r="F15" s="574" t="str">
        <f t="shared" ca="1" si="1"/>
        <v>A</v>
      </c>
    </row>
    <row r="16" spans="1:11" ht="45">
      <c r="A16" s="574" t="s">
        <v>153</v>
      </c>
      <c r="B16" s="572" t="s">
        <v>155</v>
      </c>
      <c r="C16" s="573">
        <f ca="1">VLOOKUP(A16,'Planilha Orçamentária'!$B$20:$H$430,7,FALSE)</f>
        <v>76452.385500000004</v>
      </c>
      <c r="D16" s="575">
        <f t="shared" ca="1" si="0"/>
        <v>2.0067050252321968E-2</v>
      </c>
      <c r="E16" s="575">
        <f t="shared" ca="1" si="2"/>
        <v>0.3768481461145492</v>
      </c>
      <c r="F16" s="574" t="str">
        <f t="shared" ca="1" si="1"/>
        <v>A</v>
      </c>
    </row>
    <row r="17" spans="1:6" ht="30">
      <c r="A17" s="574" t="s">
        <v>267</v>
      </c>
      <c r="B17" s="572" t="s">
        <v>269</v>
      </c>
      <c r="C17" s="573">
        <f>VLOOKUP(A17,'Planilha Orçamentária'!$B$20:$H$430,7,FALSE)</f>
        <v>71300.289199999985</v>
      </c>
      <c r="D17" s="575">
        <f t="shared" ca="1" si="0"/>
        <v>1.8714739599348263E-2</v>
      </c>
      <c r="E17" s="575">
        <f t="shared" ca="1" si="2"/>
        <v>0.39556288571389747</v>
      </c>
      <c r="F17" s="574" t="str">
        <f t="shared" ca="1" si="1"/>
        <v>A</v>
      </c>
    </row>
    <row r="18" spans="1:6" ht="30">
      <c r="A18" s="574" t="s">
        <v>103</v>
      </c>
      <c r="B18" s="572" t="s">
        <v>105</v>
      </c>
      <c r="C18" s="573">
        <f>VLOOKUP(A18,'Planilha Orçamentária'!$B$20:$H$430,7,FALSE)</f>
        <v>68910.472800000003</v>
      </c>
      <c r="D18" s="575">
        <f t="shared" ca="1" si="0"/>
        <v>1.8087465963882398E-2</v>
      </c>
      <c r="E18" s="575">
        <f t="shared" ca="1" si="2"/>
        <v>0.41365035167777986</v>
      </c>
      <c r="F18" s="574" t="str">
        <f t="shared" ca="1" si="1"/>
        <v>A</v>
      </c>
    </row>
    <row r="19" spans="1:6" ht="45">
      <c r="A19" s="574" t="s">
        <v>331</v>
      </c>
      <c r="B19" s="572" t="s">
        <v>333</v>
      </c>
      <c r="C19" s="573">
        <f>VLOOKUP(A19,'Planilha Orçamentária'!$B$20:$H$430,7,FALSE)</f>
        <v>67401.096399999995</v>
      </c>
      <c r="D19" s="575">
        <f t="shared" ca="1" si="0"/>
        <v>1.7691288240056252E-2</v>
      </c>
      <c r="E19" s="575">
        <f t="shared" ca="1" si="2"/>
        <v>0.43134163991783614</v>
      </c>
      <c r="F19" s="574" t="str">
        <f t="shared" ca="1" si="1"/>
        <v>A</v>
      </c>
    </row>
    <row r="20" spans="1:6" ht="30">
      <c r="A20" s="574" t="s">
        <v>224</v>
      </c>
      <c r="B20" s="572" t="s">
        <v>226</v>
      </c>
      <c r="C20" s="573">
        <f>VLOOKUP(A20,'Planilha Orçamentária'!$B$20:$H$430,7,FALSE)</f>
        <v>66754.722980000006</v>
      </c>
      <c r="D20" s="575">
        <f t="shared" ca="1" si="0"/>
        <v>1.7521629598065219E-2</v>
      </c>
      <c r="E20" s="575">
        <f t="shared" ca="1" si="2"/>
        <v>0.44886326951590139</v>
      </c>
      <c r="F20" s="574" t="str">
        <f t="shared" ca="1" si="1"/>
        <v>A</v>
      </c>
    </row>
    <row r="21" spans="1:6" ht="30">
      <c r="A21" s="574" t="s">
        <v>96</v>
      </c>
      <c r="B21" s="572" t="s">
        <v>98</v>
      </c>
      <c r="C21" s="573">
        <f>VLOOKUP(A21,'Planilha Orçamentária'!$B$20:$H$430,7,FALSE)</f>
        <v>64485.020863999998</v>
      </c>
      <c r="D21" s="575">
        <f t="shared" ca="1" si="0"/>
        <v>1.6925883289801581E-2</v>
      </c>
      <c r="E21" s="575">
        <f t="shared" ca="1" si="2"/>
        <v>0.46578915280570299</v>
      </c>
      <c r="F21" s="574" t="str">
        <f t="shared" ca="1" si="1"/>
        <v>A</v>
      </c>
    </row>
    <row r="22" spans="1:6" ht="30">
      <c r="A22" s="574" t="s">
        <v>302</v>
      </c>
      <c r="B22" s="572" t="s">
        <v>304</v>
      </c>
      <c r="C22" s="573">
        <f>VLOOKUP(A22,'Planilha Orçamentária'!$B$20:$H$430,7,FALSE)</f>
        <v>64027.823400000001</v>
      </c>
      <c r="D22" s="575">
        <f t="shared" ca="1" si="0"/>
        <v>1.6805879127402723E-2</v>
      </c>
      <c r="E22" s="575">
        <f t="shared" ca="1" si="2"/>
        <v>0.48259503193310571</v>
      </c>
      <c r="F22" s="574" t="str">
        <f t="shared" ca="1" si="1"/>
        <v>A</v>
      </c>
    </row>
    <row r="23" spans="1:6" ht="45">
      <c r="A23" s="574" t="s">
        <v>129</v>
      </c>
      <c r="B23" s="572" t="s">
        <v>131</v>
      </c>
      <c r="C23" s="573">
        <f>VLOOKUP(A23,'Planilha Orçamentária'!$B$20:$H$430,7,FALSE)</f>
        <v>62401.015599999999</v>
      </c>
      <c r="D23" s="575">
        <f t="shared" ca="1" si="0"/>
        <v>1.6378878273734535E-2</v>
      </c>
      <c r="E23" s="575">
        <f t="shared" ca="1" si="2"/>
        <v>0.49897391020684023</v>
      </c>
      <c r="F23" s="574" t="str">
        <f t="shared" ca="1" si="1"/>
        <v>A</v>
      </c>
    </row>
    <row r="24" spans="1:6" ht="30">
      <c r="A24" s="574" t="s">
        <v>193</v>
      </c>
      <c r="B24" s="572" t="s">
        <v>195</v>
      </c>
      <c r="C24" s="573">
        <f>VLOOKUP(A24,'Planilha Orçamentária'!$B$20:$H$430,7,FALSE)</f>
        <v>59689.616000000009</v>
      </c>
      <c r="D24" s="575">
        <f t="shared" ca="1" si="0"/>
        <v>1.5667196202972654E-2</v>
      </c>
      <c r="E24" s="575">
        <f t="shared" ca="1" si="2"/>
        <v>0.51464110640981287</v>
      </c>
      <c r="F24" s="574" t="str">
        <f t="shared" ca="1" si="1"/>
        <v>A</v>
      </c>
    </row>
    <row r="25" spans="1:6">
      <c r="A25" s="574" t="s">
        <v>296</v>
      </c>
      <c r="B25" s="572" t="s">
        <v>298</v>
      </c>
      <c r="C25" s="573">
        <f>VLOOKUP(A25,'Planilha Orçamentária'!$B$20:$H$430,7,FALSE)</f>
        <v>50363.655599999998</v>
      </c>
      <c r="D25" s="575">
        <f t="shared" ca="1" si="0"/>
        <v>1.321933908544733E-2</v>
      </c>
      <c r="E25" s="575">
        <f t="shared" ca="1" si="2"/>
        <v>0.52786044549526023</v>
      </c>
      <c r="F25" s="574" t="str">
        <f t="shared" ca="1" si="1"/>
        <v>A</v>
      </c>
    </row>
    <row r="26" spans="1:6" ht="30">
      <c r="A26" s="574" t="s">
        <v>1066</v>
      </c>
      <c r="B26" s="572" t="s">
        <v>1068</v>
      </c>
      <c r="C26" s="573">
        <f>VLOOKUP(A26,'Planilha Orçamentária'!$B$20:$H$430,7,FALSE)</f>
        <v>49249.412400000001</v>
      </c>
      <c r="D26" s="575">
        <f t="shared" ca="1" si="0"/>
        <v>1.2926875035549136E-2</v>
      </c>
      <c r="E26" s="575">
        <f t="shared" ca="1" si="2"/>
        <v>0.54078732053080936</v>
      </c>
      <c r="F26" s="574" t="str">
        <f t="shared" ca="1" si="1"/>
        <v>A</v>
      </c>
    </row>
    <row r="27" spans="1:6" ht="30">
      <c r="A27" s="574" t="s">
        <v>93</v>
      </c>
      <c r="B27" s="572" t="s">
        <v>95</v>
      </c>
      <c r="C27" s="573">
        <f>VLOOKUP(A27,'Planilha Orçamentária'!$B$20:$H$430,7,FALSE)</f>
        <v>48726.800400000007</v>
      </c>
      <c r="D27" s="575">
        <f t="shared" ca="1" si="0"/>
        <v>1.2789701012817479E-2</v>
      </c>
      <c r="E27" s="575">
        <f t="shared" ca="1" si="2"/>
        <v>0.55357702154362687</v>
      </c>
      <c r="F27" s="574" t="str">
        <f t="shared" ca="1" si="1"/>
        <v>A</v>
      </c>
    </row>
    <row r="28" spans="1:6" ht="30">
      <c r="A28" s="574" t="s">
        <v>82</v>
      </c>
      <c r="B28" s="572" t="s">
        <v>84</v>
      </c>
      <c r="C28" s="573">
        <f>VLOOKUP(A28,'Planilha Orçamentária'!$B$20:$H$430,7,FALSE)</f>
        <v>48127.551111111112</v>
      </c>
      <c r="D28" s="575">
        <f t="shared" ca="1" si="0"/>
        <v>1.2632411406807714E-2</v>
      </c>
      <c r="E28" s="575">
        <f t="shared" ca="1" si="2"/>
        <v>0.56620943295043458</v>
      </c>
      <c r="F28" s="574" t="str">
        <f t="shared" ca="1" si="1"/>
        <v>A</v>
      </c>
    </row>
    <row r="29" spans="1:6" ht="45">
      <c r="A29" s="574" t="s">
        <v>275</v>
      </c>
      <c r="B29" s="572" t="s">
        <v>277</v>
      </c>
      <c r="C29" s="573">
        <f>VLOOKUP(A29,'Planilha Orçamentária'!$B$20:$H$430,7,FALSE)</f>
        <v>46744.747649999998</v>
      </c>
      <c r="D29" s="575">
        <f t="shared" ca="1" si="0"/>
        <v>1.2269456263397552E-2</v>
      </c>
      <c r="E29" s="575">
        <f t="shared" ca="1" si="2"/>
        <v>0.57847888921383217</v>
      </c>
      <c r="F29" s="574" t="str">
        <f t="shared" ca="1" si="1"/>
        <v>A</v>
      </c>
    </row>
    <row r="30" spans="1:6">
      <c r="A30" s="574" t="s">
        <v>250</v>
      </c>
      <c r="B30" s="572" t="s">
        <v>252</v>
      </c>
      <c r="C30" s="573">
        <f ca="1">VLOOKUP(A30,'Planilha Orçamentária'!$B$20:$H$430,7,FALSE)</f>
        <v>46588.71</v>
      </c>
      <c r="D30" s="575">
        <f t="shared" ca="1" si="0"/>
        <v>1.2228499851856879E-2</v>
      </c>
      <c r="E30" s="575">
        <f t="shared" ca="1" si="2"/>
        <v>0.59070738906568909</v>
      </c>
      <c r="F30" s="574" t="str">
        <f t="shared" ca="1" si="1"/>
        <v>A</v>
      </c>
    </row>
    <row r="31" spans="1:6" ht="30">
      <c r="A31" s="574" t="s">
        <v>353</v>
      </c>
      <c r="B31" s="572" t="s">
        <v>355</v>
      </c>
      <c r="C31" s="573">
        <f ca="1">VLOOKUP(A31,'Planilha Orçamentária'!$B$20:$H$430,7,FALSE)</f>
        <v>44961.435899999997</v>
      </c>
      <c r="D31" s="575">
        <f t="shared" ca="1" si="0"/>
        <v>1.180137660481311E-2</v>
      </c>
      <c r="E31" s="575">
        <f t="shared" ca="1" si="2"/>
        <v>0.60250876567050216</v>
      </c>
      <c r="F31" s="574" t="str">
        <f t="shared" ca="1" si="1"/>
        <v>A</v>
      </c>
    </row>
    <row r="32" spans="1:6" ht="30">
      <c r="A32" s="574" t="s">
        <v>121</v>
      </c>
      <c r="B32" s="572" t="s">
        <v>102</v>
      </c>
      <c r="C32" s="573">
        <f>VLOOKUP(A32,'Planilha Orçamentária'!$B$20:$H$430,7,FALSE)</f>
        <v>43859.244400000003</v>
      </c>
      <c r="D32" s="575">
        <f t="shared" ca="1" si="0"/>
        <v>1.1512075858034161E-2</v>
      </c>
      <c r="E32" s="575">
        <f t="shared" ca="1" si="2"/>
        <v>0.61402084152853631</v>
      </c>
      <c r="F32" s="574" t="str">
        <f t="shared" ca="1" si="1"/>
        <v>A</v>
      </c>
    </row>
    <row r="33" spans="1:6" ht="45">
      <c r="A33" s="574" t="s">
        <v>897</v>
      </c>
      <c r="B33" s="572" t="s">
        <v>899</v>
      </c>
      <c r="C33" s="573">
        <f>VLOOKUP(A33,'Planilha Orçamentária'!$B$20:$H$430,7,FALSE)</f>
        <v>43352.4</v>
      </c>
      <c r="D33" s="575">
        <f t="shared" ca="1" si="0"/>
        <v>1.1379040479499006E-2</v>
      </c>
      <c r="E33" s="575">
        <f t="shared" ca="1" si="2"/>
        <v>0.62539988200803531</v>
      </c>
      <c r="F33" s="574" t="str">
        <f t="shared" ca="1" si="1"/>
        <v>A</v>
      </c>
    </row>
    <row r="34" spans="1:6" ht="30">
      <c r="A34" s="574" t="s">
        <v>1115</v>
      </c>
      <c r="B34" s="572" t="s">
        <v>1117</v>
      </c>
      <c r="C34" s="573">
        <f>VLOOKUP(A34,'Planilha Orçamentária'!$B$20:$H$430,7,FALSE)</f>
        <v>41032.760199999997</v>
      </c>
      <c r="D34" s="575">
        <f t="shared" ca="1" si="0"/>
        <v>1.0770186640217744E-2</v>
      </c>
      <c r="E34" s="575">
        <f t="shared" ca="1" si="2"/>
        <v>0.6361700686482531</v>
      </c>
      <c r="F34" s="574" t="str">
        <f t="shared" ca="1" si="1"/>
        <v>A</v>
      </c>
    </row>
    <row r="35" spans="1:6" ht="30">
      <c r="A35" s="574" t="s">
        <v>535</v>
      </c>
      <c r="B35" s="572" t="s">
        <v>537</v>
      </c>
      <c r="C35" s="573">
        <f>VLOOKUP(A35,'Planilha Orçamentária'!$B$20:$H$430,7,FALSE)</f>
        <v>39184.53</v>
      </c>
      <c r="D35" s="575">
        <f t="shared" ca="1" si="0"/>
        <v>1.0285067332838394E-2</v>
      </c>
      <c r="E35" s="575">
        <f t="shared" ca="1" si="2"/>
        <v>0.6464551359810915</v>
      </c>
      <c r="F35" s="574" t="str">
        <f t="shared" ca="1" si="1"/>
        <v>A</v>
      </c>
    </row>
    <row r="36" spans="1:6" ht="30">
      <c r="A36" s="574" t="s">
        <v>185</v>
      </c>
      <c r="B36" s="572" t="s">
        <v>187</v>
      </c>
      <c r="C36" s="573">
        <f>VLOOKUP(A36,'Planilha Orçamentária'!$B$20:$H$430,7,FALSE)</f>
        <v>33552.398399999998</v>
      </c>
      <c r="D36" s="575">
        <f t="shared" ca="1" si="0"/>
        <v>8.8067580936206005E-3</v>
      </c>
      <c r="E36" s="575">
        <f t="shared" ca="1" si="2"/>
        <v>0.65526189407471214</v>
      </c>
      <c r="F36" s="574" t="str">
        <f t="shared" ca="1" si="1"/>
        <v>A</v>
      </c>
    </row>
    <row r="37" spans="1:6" ht="45">
      <c r="A37" s="574" t="s">
        <v>234</v>
      </c>
      <c r="B37" s="572" t="s">
        <v>236</v>
      </c>
      <c r="C37" s="573">
        <f>VLOOKUP(A37,'Planilha Orçamentária'!$B$20:$H$430,7,FALSE)</f>
        <v>33473.785400000001</v>
      </c>
      <c r="D37" s="575">
        <f t="shared" ca="1" si="0"/>
        <v>8.7861239301321933E-3</v>
      </c>
      <c r="E37" s="575">
        <f t="shared" ca="1" si="2"/>
        <v>0.66404801800484436</v>
      </c>
      <c r="F37" s="574" t="str">
        <f t="shared" ca="1" si="1"/>
        <v>A</v>
      </c>
    </row>
    <row r="38" spans="1:6" ht="30">
      <c r="A38" s="574" t="s">
        <v>314</v>
      </c>
      <c r="B38" s="572" t="s">
        <v>316</v>
      </c>
      <c r="C38" s="573">
        <f>VLOOKUP(A38,'Planilha Orçamentária'!$B$20:$H$430,7,FALSE)</f>
        <v>30825.352800000004</v>
      </c>
      <c r="D38" s="575">
        <f t="shared" ca="1" si="0"/>
        <v>8.0909692959568128E-3</v>
      </c>
      <c r="E38" s="575">
        <f t="shared" ca="1" si="2"/>
        <v>0.67213898730080113</v>
      </c>
      <c r="F38" s="574" t="str">
        <f t="shared" ca="1" si="1"/>
        <v>A</v>
      </c>
    </row>
    <row r="39" spans="1:6" ht="30">
      <c r="A39" s="574" t="s">
        <v>356</v>
      </c>
      <c r="B39" s="572" t="s">
        <v>358</v>
      </c>
      <c r="C39" s="573">
        <f ca="1">VLOOKUP(A39,'Planilha Orçamentária'!$B$20:$H$430,7,FALSE)</f>
        <v>30286.327500000003</v>
      </c>
      <c r="D39" s="575">
        <f t="shared" ca="1" si="0"/>
        <v>7.949487147144425E-3</v>
      </c>
      <c r="E39" s="575">
        <f t="shared" ca="1" si="2"/>
        <v>0.68008847444794551</v>
      </c>
      <c r="F39" s="574" t="str">
        <f t="shared" ca="1" si="1"/>
        <v>A</v>
      </c>
    </row>
    <row r="40" spans="1:6" ht="45">
      <c r="A40" s="574" t="s">
        <v>281</v>
      </c>
      <c r="B40" s="572" t="s">
        <v>283</v>
      </c>
      <c r="C40" s="573">
        <f ca="1">VLOOKUP(A40,'Planilha Orçamentária'!$B$20:$H$430,7,FALSE)</f>
        <v>30083.404600000002</v>
      </c>
      <c r="D40" s="575">
        <f t="shared" ca="1" si="0"/>
        <v>7.8962244005994289E-3</v>
      </c>
      <c r="E40" s="575">
        <f t="shared" ca="1" si="2"/>
        <v>0.68798469884854496</v>
      </c>
      <c r="F40" s="574" t="str">
        <f t="shared" ca="1" si="1"/>
        <v>A</v>
      </c>
    </row>
    <row r="41" spans="1:6" ht="30">
      <c r="A41" s="574" t="s">
        <v>264</v>
      </c>
      <c r="B41" s="572" t="s">
        <v>266</v>
      </c>
      <c r="C41" s="573">
        <f>VLOOKUP(A41,'Planilha Orçamentária'!$B$20:$H$430,7,FALSE)</f>
        <v>28908.210599999999</v>
      </c>
      <c r="D41" s="575">
        <f t="shared" ca="1" si="0"/>
        <v>7.5877621217575559E-3</v>
      </c>
      <c r="E41" s="575">
        <f t="shared" ca="1" si="2"/>
        <v>0.69557246097030256</v>
      </c>
      <c r="F41" s="574" t="str">
        <f t="shared" ca="1" si="1"/>
        <v>A</v>
      </c>
    </row>
    <row r="42" spans="1:6" ht="30">
      <c r="A42" s="574" t="s">
        <v>199</v>
      </c>
      <c r="B42" s="572" t="s">
        <v>201</v>
      </c>
      <c r="C42" s="573">
        <f>VLOOKUP(A42,'Planilha Orçamentária'!$B$20:$H$430,7,FALSE)</f>
        <v>28667.029820000003</v>
      </c>
      <c r="D42" s="575">
        <f t="shared" ca="1" si="0"/>
        <v>7.5244575328882639E-3</v>
      </c>
      <c r="E42" s="575">
        <f t="shared" ca="1" si="2"/>
        <v>0.70309691850319078</v>
      </c>
      <c r="F42" s="574" t="str">
        <f t="shared" ca="1" si="1"/>
        <v>A</v>
      </c>
    </row>
    <row r="43" spans="1:6" ht="30">
      <c r="A43" s="574" t="s">
        <v>259</v>
      </c>
      <c r="B43" s="572" t="s">
        <v>261</v>
      </c>
      <c r="C43" s="573">
        <f>VLOOKUP(A43,'Planilha Orçamentária'!$B$20:$H$430,7,FALSE)</f>
        <v>26243.930800000002</v>
      </c>
      <c r="D43" s="575">
        <f t="shared" ca="1" si="0"/>
        <v>6.8884479501566415E-3</v>
      </c>
      <c r="E43" s="575">
        <f t="shared" ca="1" si="2"/>
        <v>0.70998536645334742</v>
      </c>
      <c r="F43" s="574" t="str">
        <f t="shared" ca="1" si="1"/>
        <v>A</v>
      </c>
    </row>
    <row r="44" spans="1:6" ht="30">
      <c r="A44" s="574" t="s">
        <v>781</v>
      </c>
      <c r="B44" s="572" t="s">
        <v>783</v>
      </c>
      <c r="C44" s="573">
        <f>VLOOKUP(A44,'Planilha Orçamentária'!$B$20:$H$430,7,FALSE)</f>
        <v>25745</v>
      </c>
      <c r="D44" s="575">
        <f t="shared" ca="1" si="0"/>
        <v>6.7574897155567382E-3</v>
      </c>
      <c r="E44" s="575">
        <f t="shared" ca="1" si="2"/>
        <v>0.71674285616890421</v>
      </c>
      <c r="F44" s="574" t="str">
        <f t="shared" ca="1" si="1"/>
        <v>A</v>
      </c>
    </row>
    <row r="45" spans="1:6" ht="30">
      <c r="A45" s="574" t="s">
        <v>241</v>
      </c>
      <c r="B45" s="572" t="s">
        <v>243</v>
      </c>
      <c r="C45" s="573">
        <f>VLOOKUP(A45,'Planilha Orçamentária'!$B$20:$H$430,7,FALSE)</f>
        <v>25621.128800000002</v>
      </c>
      <c r="D45" s="575">
        <f t="shared" ca="1" si="0"/>
        <v>6.7249762814897869E-3</v>
      </c>
      <c r="E45" s="575">
        <f t="shared" ca="1" si="2"/>
        <v>0.72346783245039403</v>
      </c>
      <c r="F45" s="574" t="str">
        <f t="shared" ca="1" si="1"/>
        <v>A</v>
      </c>
    </row>
    <row r="46" spans="1:6" ht="30">
      <c r="A46" s="574" t="s">
        <v>299</v>
      </c>
      <c r="B46" s="572" t="s">
        <v>301</v>
      </c>
      <c r="C46" s="573">
        <f>VLOOKUP(A46,'Planilha Orçamentária'!$B$20:$H$430,7,FALSE)</f>
        <v>24963.519800000002</v>
      </c>
      <c r="D46" s="575">
        <f t="shared" ca="1" si="0"/>
        <v>6.5523685497221604E-3</v>
      </c>
      <c r="E46" s="575">
        <f t="shared" ca="1" si="2"/>
        <v>0.73002020100011622</v>
      </c>
      <c r="F46" s="574" t="str">
        <f t="shared" ca="1" si="1"/>
        <v>A</v>
      </c>
    </row>
    <row r="47" spans="1:6" ht="30">
      <c r="A47" s="574" t="s">
        <v>347</v>
      </c>
      <c r="B47" s="572" t="s">
        <v>349</v>
      </c>
      <c r="C47" s="573">
        <f ca="1">VLOOKUP(A47,'Planilha Orçamentária'!$B$20:$H$430,7,FALSE)</f>
        <v>24656.2713</v>
      </c>
      <c r="D47" s="575">
        <f t="shared" ca="1" si="0"/>
        <v>6.4717226542523503E-3</v>
      </c>
      <c r="E47" s="575">
        <f t="shared" ca="1" si="2"/>
        <v>0.73649192365436855</v>
      </c>
      <c r="F47" s="574" t="str">
        <f t="shared" ca="1" si="1"/>
        <v>A</v>
      </c>
    </row>
    <row r="48" spans="1:6">
      <c r="A48" s="574" t="s">
        <v>188</v>
      </c>
      <c r="B48" s="572" t="s">
        <v>190</v>
      </c>
      <c r="C48" s="573">
        <f>VLOOKUP(A48,'Planilha Orçamentária'!$B$20:$H$430,7,FALSE)</f>
        <v>24168.397499999999</v>
      </c>
      <c r="D48" s="575">
        <f t="shared" ca="1" si="0"/>
        <v>6.3436666361521531E-3</v>
      </c>
      <c r="E48" s="575">
        <f t="shared" ca="1" si="2"/>
        <v>0.74283559029052071</v>
      </c>
      <c r="F48" s="574" t="str">
        <f t="shared" ca="1" si="1"/>
        <v>A</v>
      </c>
    </row>
    <row r="49" spans="1:6" ht="30">
      <c r="A49" s="574" t="s">
        <v>100</v>
      </c>
      <c r="B49" s="572" t="s">
        <v>102</v>
      </c>
      <c r="C49" s="573">
        <f>VLOOKUP(A49,'Planilha Orçamentária'!$B$20:$H$430,7,FALSE)</f>
        <v>21878.084870400002</v>
      </c>
      <c r="D49" s="575">
        <f t="shared" ca="1" si="0"/>
        <v>5.7425105266189743E-3</v>
      </c>
      <c r="E49" s="575">
        <f t="shared" ca="1" si="2"/>
        <v>0.74857810081713971</v>
      </c>
      <c r="F49" s="574" t="str">
        <f t="shared" ca="1" si="1"/>
        <v>A</v>
      </c>
    </row>
    <row r="50" spans="1:6">
      <c r="A50" s="574" t="s">
        <v>614</v>
      </c>
      <c r="B50" s="572" t="s">
        <v>616</v>
      </c>
      <c r="C50" s="573">
        <f>VLOOKUP(A50,'Planilha Orçamentária'!$B$20:$H$430,7,FALSE)</f>
        <v>21709.481799999998</v>
      </c>
      <c r="D50" s="575">
        <f t="shared" ca="1" si="0"/>
        <v>5.6982559717834984E-3</v>
      </c>
      <c r="E50" s="575">
        <f t="shared" ca="1" si="2"/>
        <v>0.75427635678892324</v>
      </c>
      <c r="F50" s="574" t="str">
        <f t="shared" ca="1" si="1"/>
        <v>A</v>
      </c>
    </row>
    <row r="51" spans="1:6" ht="30">
      <c r="A51" s="574" t="s">
        <v>544</v>
      </c>
      <c r="B51" s="572" t="s">
        <v>546</v>
      </c>
      <c r="C51" s="573">
        <f>VLOOKUP(A51,'Planilha Orçamentária'!$B$20:$H$430,7,FALSE)</f>
        <v>21684.31</v>
      </c>
      <c r="D51" s="575">
        <f t="shared" ca="1" si="0"/>
        <v>5.6916489343151735E-3</v>
      </c>
      <c r="E51" s="575">
        <f t="shared" ca="1" si="2"/>
        <v>0.75996800572323842</v>
      </c>
      <c r="F51" s="574" t="str">
        <f t="shared" ca="1" si="1"/>
        <v>A</v>
      </c>
    </row>
    <row r="52" spans="1:6" ht="30">
      <c r="A52" s="574" t="s">
        <v>350</v>
      </c>
      <c r="B52" s="572" t="s">
        <v>352</v>
      </c>
      <c r="C52" s="573">
        <f ca="1">VLOOKUP(A52,'Planilha Orçamentária'!$B$20:$H$430,7,FALSE)</f>
        <v>20851.677599999999</v>
      </c>
      <c r="D52" s="575">
        <f t="shared" ca="1" si="0"/>
        <v>5.4731014540339799E-3</v>
      </c>
      <c r="E52" s="575">
        <f t="shared" ca="1" si="2"/>
        <v>0.76544110717727243</v>
      </c>
      <c r="F52" s="574" t="str">
        <f t="shared" ca="1" si="1"/>
        <v>A</v>
      </c>
    </row>
    <row r="53" spans="1:6" ht="45">
      <c r="A53" s="574" t="s">
        <v>894</v>
      </c>
      <c r="B53" s="572" t="s">
        <v>896</v>
      </c>
      <c r="C53" s="573">
        <f>VLOOKUP(A53,'Planilha Orçamentária'!$B$20:$H$430,7,FALSE)</f>
        <v>20359.5</v>
      </c>
      <c r="D53" s="575">
        <f t="shared" ca="1" si="0"/>
        <v>5.3439157841863438E-3</v>
      </c>
      <c r="E53" s="575">
        <f t="shared" ca="1" si="2"/>
        <v>0.77078502296145879</v>
      </c>
      <c r="F53" s="574" t="str">
        <f t="shared" ca="1" si="1"/>
        <v>A</v>
      </c>
    </row>
    <row r="54" spans="1:6" ht="45">
      <c r="A54" s="574" t="s">
        <v>667</v>
      </c>
      <c r="B54" s="572" t="s">
        <v>669</v>
      </c>
      <c r="C54" s="573">
        <f>VLOOKUP(A54,'Planilha Orçamentária'!$B$20:$H$430,7,FALSE)</f>
        <v>19093.48</v>
      </c>
      <c r="D54" s="575">
        <f t="shared" ca="1" si="0"/>
        <v>5.0116137010754814E-3</v>
      </c>
      <c r="E54" s="575">
        <f t="shared" ca="1" si="2"/>
        <v>0.77579663666253429</v>
      </c>
      <c r="F54" s="574" t="str">
        <f t="shared" ca="1" si="1"/>
        <v>A</v>
      </c>
    </row>
    <row r="55" spans="1:6" ht="30">
      <c r="A55" s="574" t="s">
        <v>334</v>
      </c>
      <c r="B55" s="572" t="s">
        <v>336</v>
      </c>
      <c r="C55" s="573">
        <f>VLOOKUP(A55,'Planilha Orçamentária'!$B$20:$H$430,7,FALSE)</f>
        <v>18480.340400000001</v>
      </c>
      <c r="D55" s="575">
        <f t="shared" ca="1" si="0"/>
        <v>4.8506781974359181E-3</v>
      </c>
      <c r="E55" s="575">
        <f t="shared" ca="1" si="2"/>
        <v>0.78064731485997019</v>
      </c>
      <c r="F55" s="574" t="str">
        <f t="shared" ca="1" si="1"/>
        <v>A</v>
      </c>
    </row>
    <row r="56" spans="1:6" ht="30">
      <c r="A56" s="574" t="s">
        <v>1005</v>
      </c>
      <c r="B56" s="572" t="s">
        <v>1007</v>
      </c>
      <c r="C56" s="573">
        <f>VLOOKUP(A56,'Planilha Orçamentária'!$B$20:$H$430,7,FALSE)</f>
        <v>16919</v>
      </c>
      <c r="D56" s="575">
        <f t="shared" ca="1" si="0"/>
        <v>4.4408610797243911E-3</v>
      </c>
      <c r="E56" s="575">
        <f t="shared" ca="1" si="2"/>
        <v>0.7850881759396946</v>
      </c>
      <c r="F56" s="574" t="str">
        <f t="shared" ca="1" si="1"/>
        <v>A</v>
      </c>
    </row>
    <row r="57" spans="1:6" ht="30">
      <c r="A57" s="574" t="s">
        <v>118</v>
      </c>
      <c r="B57" s="572" t="s">
        <v>120</v>
      </c>
      <c r="C57" s="573">
        <f>VLOOKUP(A57,'Planilha Orçamentária'!$B$20:$H$430,7,FALSE)</f>
        <v>16621.88682</v>
      </c>
      <c r="D57" s="575">
        <f t="shared" ca="1" si="0"/>
        <v>4.3628754802601706E-3</v>
      </c>
      <c r="E57" s="575">
        <f t="shared" ca="1" si="2"/>
        <v>0.78945105141995475</v>
      </c>
      <c r="F57" s="574" t="str">
        <f t="shared" ca="1" si="1"/>
        <v>A</v>
      </c>
    </row>
    <row r="58" spans="1:6">
      <c r="A58" s="574" t="s">
        <v>244</v>
      </c>
      <c r="B58" s="572" t="s">
        <v>246</v>
      </c>
      <c r="C58" s="573">
        <f>VLOOKUP(A58,'Planilha Orçamentária'!$B$20:$H$430,7,FALSE)</f>
        <v>16399.754999999997</v>
      </c>
      <c r="D58" s="575">
        <f t="shared" ca="1" si="0"/>
        <v>4.3045708195824503E-3</v>
      </c>
      <c r="E58" s="575">
        <f t="shared" ca="1" si="2"/>
        <v>0.79375562223953722</v>
      </c>
      <c r="F58" s="574" t="str">
        <f t="shared" ca="1" si="1"/>
        <v>A</v>
      </c>
    </row>
    <row r="59" spans="1:6" ht="30">
      <c r="A59" s="574" t="s">
        <v>381</v>
      </c>
      <c r="B59" s="572" t="s">
        <v>383</v>
      </c>
      <c r="C59" s="573">
        <f>VLOOKUP(A59,'Planilha Orçamentária'!$B$20:$H$430,7,FALSE)</f>
        <v>16016.66</v>
      </c>
      <c r="D59" s="575">
        <f t="shared" ca="1" si="0"/>
        <v>4.2040169053241009E-3</v>
      </c>
      <c r="E59" s="575">
        <f t="shared" ca="1" si="2"/>
        <v>0.79795963914486134</v>
      </c>
      <c r="F59" s="574" t="str">
        <f t="shared" ca="1" si="1"/>
        <v>A</v>
      </c>
    </row>
    <row r="60" spans="1:6">
      <c r="A60" s="574" t="s">
        <v>741</v>
      </c>
      <c r="B60" s="572" t="s">
        <v>743</v>
      </c>
      <c r="C60" s="573">
        <f>VLOOKUP(A60,'Planilha Orçamentária'!$B$20:$H$430,7,FALSE)</f>
        <v>16015.5</v>
      </c>
      <c r="D60" s="575">
        <f t="shared" ca="1" si="0"/>
        <v>4.2037124311322177E-3</v>
      </c>
      <c r="E60" s="575">
        <f t="shared" ca="1" si="2"/>
        <v>0.80216335157599361</v>
      </c>
      <c r="F60" s="574" t="str">
        <f t="shared" ca="1" si="1"/>
        <v>B</v>
      </c>
    </row>
    <row r="61" spans="1:6" ht="60">
      <c r="A61" s="574" t="s">
        <v>173</v>
      </c>
      <c r="B61" s="572" t="s">
        <v>175</v>
      </c>
      <c r="C61" s="573">
        <f>VLOOKUP(A61,'Planilha Orçamentária'!$B$20:$H$430,7,FALSE)</f>
        <v>15369.750000000002</v>
      </c>
      <c r="D61" s="575">
        <f t="shared" ca="1" si="0"/>
        <v>4.0342174230210987E-3</v>
      </c>
      <c r="E61" s="575">
        <f t="shared" ca="1" si="2"/>
        <v>0.80619756899901474</v>
      </c>
      <c r="F61" s="574" t="str">
        <f t="shared" ca="1" si="1"/>
        <v>B</v>
      </c>
    </row>
    <row r="62" spans="1:6" ht="30">
      <c r="A62" s="574" t="s">
        <v>1012</v>
      </c>
      <c r="B62" s="572" t="s">
        <v>1014</v>
      </c>
      <c r="C62" s="573">
        <f>VLOOKUP(A62,'Planilha Orçamentária'!$B$20:$H$430,7,FALSE)</f>
        <v>15332.400000000001</v>
      </c>
      <c r="D62" s="575">
        <f t="shared" ca="1" si="0"/>
        <v>4.0244138789979466E-3</v>
      </c>
      <c r="E62" s="575">
        <f t="shared" ca="1" si="2"/>
        <v>0.81022198287801273</v>
      </c>
      <c r="F62" s="574" t="str">
        <f t="shared" ca="1" si="1"/>
        <v>B</v>
      </c>
    </row>
    <row r="63" spans="1:6" ht="30">
      <c r="A63" s="574" t="s">
        <v>451</v>
      </c>
      <c r="B63" s="1041" t="s">
        <v>452</v>
      </c>
      <c r="C63" s="573">
        <f>VLOOKUP(A63,'Planilha Orçamentária'!$B$20:$H$430,7,FALSE)</f>
        <v>15089.2</v>
      </c>
      <c r="D63" s="575">
        <f t="shared" ca="1" si="0"/>
        <v>3.9605792898030198E-3</v>
      </c>
      <c r="E63" s="575">
        <f t="shared" ca="1" si="2"/>
        <v>0.8141825621678157</v>
      </c>
      <c r="F63" s="574" t="str">
        <f t="shared" ca="1" si="1"/>
        <v>B</v>
      </c>
    </row>
    <row r="64" spans="1:6" ht="30">
      <c r="A64" s="574" t="s">
        <v>148</v>
      </c>
      <c r="B64" s="572" t="s">
        <v>150</v>
      </c>
      <c r="C64" s="573">
        <f>VLOOKUP(A64,'Planilha Orçamentária'!$B$20:$H$430,7,FALSE)</f>
        <v>14632.524000000001</v>
      </c>
      <c r="D64" s="575">
        <f t="shared" ca="1" si="0"/>
        <v>3.8407120001024337E-3</v>
      </c>
      <c r="E64" s="575">
        <f t="shared" ca="1" si="2"/>
        <v>0.81802327416791809</v>
      </c>
      <c r="F64" s="574" t="str">
        <f t="shared" ca="1" si="1"/>
        <v>B</v>
      </c>
    </row>
    <row r="65" spans="1:6" ht="45">
      <c r="A65" s="574" t="s">
        <v>57</v>
      </c>
      <c r="B65" s="572" t="s">
        <v>59</v>
      </c>
      <c r="C65" s="573">
        <f>VLOOKUP(A65,'Planilha Orçamentária'!$B$20:$H$430,7,FALSE)</f>
        <v>13437.95</v>
      </c>
      <c r="D65" s="575">
        <f t="shared" ca="1" si="0"/>
        <v>3.5271629024340909E-3</v>
      </c>
      <c r="E65" s="575">
        <f t="shared" ca="1" si="2"/>
        <v>0.82155043707035214</v>
      </c>
      <c r="F65" s="574" t="str">
        <f t="shared" ca="1" si="1"/>
        <v>B</v>
      </c>
    </row>
    <row r="66" spans="1:6" ht="30">
      <c r="A66" s="574" t="s">
        <v>238</v>
      </c>
      <c r="B66" s="572" t="s">
        <v>240</v>
      </c>
      <c r="C66" s="573">
        <f>VLOOKUP(A66,'Planilha Orçamentária'!$B$20:$H$430,7,FALSE)</f>
        <v>13416.110699999999</v>
      </c>
      <c r="D66" s="575">
        <f t="shared" ca="1" si="0"/>
        <v>3.5214305720730511E-3</v>
      </c>
      <c r="E66" s="575">
        <f t="shared" ca="1" si="2"/>
        <v>0.82507186764242524</v>
      </c>
      <c r="F66" s="574" t="str">
        <f t="shared" ca="1" si="1"/>
        <v>B</v>
      </c>
    </row>
    <row r="67" spans="1:6" ht="45">
      <c r="A67" s="574" t="s">
        <v>35</v>
      </c>
      <c r="B67" s="572" t="s">
        <v>37</v>
      </c>
      <c r="C67" s="573">
        <f>VLOOKUP(A67,'Planilha Orçamentária'!$B$20:$H$430,7,FALSE)</f>
        <v>13373.75</v>
      </c>
      <c r="D67" s="575">
        <f t="shared" ca="1" si="0"/>
        <v>3.5103118307798381E-3</v>
      </c>
      <c r="E67" s="575">
        <f t="shared" ca="1" si="2"/>
        <v>0.82858217947320512</v>
      </c>
      <c r="F67" s="574" t="str">
        <f t="shared" ca="1" si="1"/>
        <v>B</v>
      </c>
    </row>
    <row r="68" spans="1:6" ht="45">
      <c r="A68" s="574" t="s">
        <v>995</v>
      </c>
      <c r="B68" s="572" t="s">
        <v>997</v>
      </c>
      <c r="C68" s="573">
        <f>VLOOKUP(A68,'Planilha Orçamentária'!$B$20:$H$430,7,FALSE)</f>
        <v>13190.91</v>
      </c>
      <c r="D68" s="575">
        <f t="shared" ca="1" si="0"/>
        <v>3.4623203986729281E-3</v>
      </c>
      <c r="E68" s="575">
        <f t="shared" ca="1" si="2"/>
        <v>0.83204449987187801</v>
      </c>
      <c r="F68" s="574" t="str">
        <f t="shared" ca="1" si="1"/>
        <v>B</v>
      </c>
    </row>
    <row r="69" spans="1:6">
      <c r="A69" s="574" t="s">
        <v>1119</v>
      </c>
      <c r="B69" s="572" t="s">
        <v>1121</v>
      </c>
      <c r="C69" s="573">
        <f>VLOOKUP(A69,'Planilha Orçamentária'!$B$20:$H$430,7,FALSE)</f>
        <v>12839.8676</v>
      </c>
      <c r="D69" s="575">
        <f t="shared" ref="D69:D132" ca="1" si="3">C69/$C$335</f>
        <v>3.3701795787962779E-3</v>
      </c>
      <c r="E69" s="575">
        <f t="shared" ca="1" si="2"/>
        <v>0.83541467945067427</v>
      </c>
      <c r="F69" s="574" t="str">
        <f t="shared" ref="F69:F132" ca="1" si="4">IF(E69&lt;=$K$4,"A",IF(E69&lt;=$K$5,"B","C"))</f>
        <v>B</v>
      </c>
    </row>
    <row r="70" spans="1:6">
      <c r="A70" s="574" t="s">
        <v>229</v>
      </c>
      <c r="B70" s="572" t="s">
        <v>231</v>
      </c>
      <c r="C70" s="573">
        <f>VLOOKUP(A70,'Planilha Orçamentária'!$B$20:$H$430,7,FALSE)</f>
        <v>11836.95909</v>
      </c>
      <c r="D70" s="575">
        <f t="shared" ca="1" si="3"/>
        <v>3.1069384080070245E-3</v>
      </c>
      <c r="E70" s="575">
        <f t="shared" ref="E70:E119" ca="1" si="5">D70+E69</f>
        <v>0.83852161785868129</v>
      </c>
      <c r="F70" s="574" t="str">
        <f t="shared" ca="1" si="4"/>
        <v>B</v>
      </c>
    </row>
    <row r="71" spans="1:6" ht="30">
      <c r="A71" s="574" t="s">
        <v>106</v>
      </c>
      <c r="B71" s="572" t="s">
        <v>108</v>
      </c>
      <c r="C71" s="573">
        <f>VLOOKUP(A71,'Planilha Orçamentária'!$B$20:$H$430,7,FALSE)</f>
        <v>11014.543665000001</v>
      </c>
      <c r="D71" s="575">
        <f t="shared" ca="1" si="3"/>
        <v>2.8910726563522288E-3</v>
      </c>
      <c r="E71" s="575">
        <f t="shared" ca="1" si="5"/>
        <v>0.84141269051503353</v>
      </c>
      <c r="F71" s="574" t="str">
        <f t="shared" ca="1" si="4"/>
        <v>B</v>
      </c>
    </row>
    <row r="72" spans="1:6" ht="45">
      <c r="A72" s="574" t="s">
        <v>87</v>
      </c>
      <c r="B72" s="572" t="s">
        <v>89</v>
      </c>
      <c r="C72" s="573">
        <f>VLOOKUP(A72,'Planilha Orçamentária'!$B$20:$H$430,7,FALSE)</f>
        <v>10920.8295</v>
      </c>
      <c r="D72" s="575">
        <f t="shared" ca="1" si="3"/>
        <v>2.8664747730277195E-3</v>
      </c>
      <c r="E72" s="575">
        <f t="shared" ca="1" si="5"/>
        <v>0.84427916528806124</v>
      </c>
      <c r="F72" s="574" t="str">
        <f t="shared" ca="1" si="4"/>
        <v>B</v>
      </c>
    </row>
    <row r="73" spans="1:6">
      <c r="A73" s="574" t="s">
        <v>735</v>
      </c>
      <c r="B73" s="572" t="s">
        <v>737</v>
      </c>
      <c r="C73" s="573">
        <f>VLOOKUP(A73,'Planilha Orçamentária'!$B$20:$H$430,7,FALSE)</f>
        <v>10903.199999999999</v>
      </c>
      <c r="D73" s="575">
        <f t="shared" ca="1" si="3"/>
        <v>2.8618474215054658E-3</v>
      </c>
      <c r="E73" s="575">
        <f t="shared" ca="1" si="5"/>
        <v>0.84714101270956665</v>
      </c>
      <c r="F73" s="574" t="str">
        <f t="shared" ca="1" si="4"/>
        <v>B</v>
      </c>
    </row>
    <row r="74" spans="1:6" ht="30">
      <c r="A74" s="574" t="s">
        <v>1088</v>
      </c>
      <c r="B74" s="572" t="s">
        <v>1090</v>
      </c>
      <c r="C74" s="573">
        <f>VLOOKUP(A74,'Planilha Orçamentária'!$B$20:$H$430,7,FALSE)</f>
        <v>10796.24</v>
      </c>
      <c r="D74" s="575">
        <f t="shared" ca="1" si="3"/>
        <v>2.8337728011917761E-3</v>
      </c>
      <c r="E74" s="575">
        <f t="shared" ca="1" si="5"/>
        <v>0.84997478551075845</v>
      </c>
      <c r="F74" s="574" t="str">
        <f t="shared" ca="1" si="4"/>
        <v>B</v>
      </c>
    </row>
    <row r="75" spans="1:6">
      <c r="A75" s="574" t="s">
        <v>28</v>
      </c>
      <c r="B75" s="572" t="s">
        <v>30</v>
      </c>
      <c r="C75" s="573">
        <f>VLOOKUP(A75,'Planilha Orçamentária'!$B$20:$H$430,7,FALSE)</f>
        <v>10552.559000000001</v>
      </c>
      <c r="D75" s="575">
        <f t="shared" ca="1" si="3"/>
        <v>2.7698119601983185E-3</v>
      </c>
      <c r="E75" s="575">
        <f t="shared" ca="1" si="5"/>
        <v>0.85274459747095677</v>
      </c>
      <c r="F75" s="574" t="str">
        <f t="shared" ca="1" si="4"/>
        <v>B</v>
      </c>
    </row>
    <row r="76" spans="1:6">
      <c r="A76" s="574" t="s">
        <v>74</v>
      </c>
      <c r="B76" s="572" t="s">
        <v>76</v>
      </c>
      <c r="C76" s="573">
        <f>VLOOKUP(A76,'Planilha Orçamentária'!$B$20:$H$430,7,FALSE)</f>
        <v>10426.21413</v>
      </c>
      <c r="D76" s="575">
        <f t="shared" ca="1" si="3"/>
        <v>2.7366492427915068E-3</v>
      </c>
      <c r="E76" s="575">
        <f t="shared" ca="1" si="5"/>
        <v>0.85548124671374826</v>
      </c>
      <c r="F76" s="574" t="str">
        <f t="shared" ca="1" si="4"/>
        <v>B</v>
      </c>
    </row>
    <row r="77" spans="1:6">
      <c r="A77" s="574" t="s">
        <v>802</v>
      </c>
      <c r="B77" s="572" t="s">
        <v>804</v>
      </c>
      <c r="C77" s="573">
        <f>VLOOKUP(A77,'Planilha Orçamentária'!$B$20:$H$430,7,FALSE)</f>
        <v>10353.92</v>
      </c>
      <c r="D77" s="575">
        <f t="shared" ca="1" si="3"/>
        <v>2.7176736420935024E-3</v>
      </c>
      <c r="E77" s="575">
        <f t="shared" ca="1" si="5"/>
        <v>0.85819892035584178</v>
      </c>
      <c r="F77" s="574" t="str">
        <f t="shared" ca="1" si="4"/>
        <v>B</v>
      </c>
    </row>
    <row r="78" spans="1:6">
      <c r="A78" s="574" t="s">
        <v>204</v>
      </c>
      <c r="B78" s="572" t="s">
        <v>206</v>
      </c>
      <c r="C78" s="573">
        <f>VLOOKUP(A78,'Planilha Orçamentária'!$B$20:$H$430,7,FALSE)</f>
        <v>9705.6297000000013</v>
      </c>
      <c r="D78" s="575">
        <f t="shared" ca="1" si="3"/>
        <v>2.5475118617499337E-3</v>
      </c>
      <c r="E78" s="575">
        <f t="shared" ca="1" si="5"/>
        <v>0.86074643221759173</v>
      </c>
      <c r="F78" s="574" t="str">
        <f t="shared" ca="1" si="4"/>
        <v>B</v>
      </c>
    </row>
    <row r="79" spans="1:6" ht="30">
      <c r="A79" s="574" t="s">
        <v>371</v>
      </c>
      <c r="B79" s="572" t="s">
        <v>373</v>
      </c>
      <c r="C79" s="573">
        <f>VLOOKUP(A79,'Planilha Orçamentária'!$B$20:$H$430,7,FALSE)</f>
        <v>9668.5300000000007</v>
      </c>
      <c r="D79" s="575">
        <f t="shared" ca="1" si="3"/>
        <v>2.5377740159080128E-3</v>
      </c>
      <c r="E79" s="575">
        <f t="shared" ca="1" si="5"/>
        <v>0.86328420623349977</v>
      </c>
      <c r="F79" s="574" t="str">
        <f t="shared" ca="1" si="4"/>
        <v>B</v>
      </c>
    </row>
    <row r="80" spans="1:6" ht="30">
      <c r="A80" s="574" t="s">
        <v>552</v>
      </c>
      <c r="B80" s="572" t="s">
        <v>554</v>
      </c>
      <c r="C80" s="573">
        <f>VLOOKUP(A80,'Planilha Orçamentária'!$B$20:$H$430,7,FALSE)</f>
        <v>9413.7000000000007</v>
      </c>
      <c r="D80" s="575">
        <f t="shared" ca="1" si="3"/>
        <v>2.4708868104617002E-3</v>
      </c>
      <c r="E80" s="575">
        <f t="shared" ca="1" si="5"/>
        <v>0.86575509304396148</v>
      </c>
      <c r="F80" s="574" t="str">
        <f t="shared" ca="1" si="4"/>
        <v>B</v>
      </c>
    </row>
    <row r="81" spans="1:6">
      <c r="A81" s="574" t="s">
        <v>24</v>
      </c>
      <c r="B81" s="572" t="s">
        <v>26</v>
      </c>
      <c r="C81" s="573">
        <f>VLOOKUP(A81,'Planilha Orçamentária'!$B$20:$H$430,7,FALSE)</f>
        <v>9364.3920000000016</v>
      </c>
      <c r="D81" s="575">
        <f t="shared" ca="1" si="3"/>
        <v>2.4579445574846302E-3</v>
      </c>
      <c r="E81" s="575">
        <f t="shared" ca="1" si="5"/>
        <v>0.86821303760144608</v>
      </c>
      <c r="F81" s="574" t="str">
        <f t="shared" ca="1" si="4"/>
        <v>B</v>
      </c>
    </row>
    <row r="82" spans="1:6">
      <c r="A82" s="574" t="s">
        <v>67</v>
      </c>
      <c r="B82" s="572" t="s">
        <v>69</v>
      </c>
      <c r="C82" s="573">
        <f>VLOOKUP(A82,'Planilha Orçamentária'!$B$20:$H$430,7,FALSE)</f>
        <v>9354.7609160000011</v>
      </c>
      <c r="D82" s="575">
        <f t="shared" ca="1" si="3"/>
        <v>2.4554166122106092E-3</v>
      </c>
      <c r="E82" s="575">
        <f t="shared" ca="1" si="5"/>
        <v>0.87066845421365668</v>
      </c>
      <c r="F82" s="574" t="str">
        <f t="shared" ca="1" si="4"/>
        <v>B</v>
      </c>
    </row>
    <row r="83" spans="1:6" ht="30">
      <c r="A83" s="574" t="s">
        <v>789</v>
      </c>
      <c r="B83" s="572" t="s">
        <v>791</v>
      </c>
      <c r="C83" s="573">
        <f>VLOOKUP(A83,'Planilha Orçamentária'!$B$20:$H$430,7,FALSE)</f>
        <v>9242.92</v>
      </c>
      <c r="D83" s="575">
        <f t="shared" ca="1" si="3"/>
        <v>2.4260608600393742E-3</v>
      </c>
      <c r="E83" s="575">
        <f t="shared" ca="1" si="5"/>
        <v>0.87309451507369606</v>
      </c>
      <c r="F83" s="574" t="str">
        <f t="shared" ca="1" si="4"/>
        <v>B</v>
      </c>
    </row>
    <row r="84" spans="1:6" ht="30">
      <c r="A84" s="574" t="s">
        <v>555</v>
      </c>
      <c r="B84" s="572" t="s">
        <v>557</v>
      </c>
      <c r="C84" s="573">
        <f>VLOOKUP(A84,'Planilha Orçamentária'!$B$20:$H$430,7,FALSE)</f>
        <v>9083.52</v>
      </c>
      <c r="D84" s="575">
        <f t="shared" ca="1" si="3"/>
        <v>2.384221906430528E-3</v>
      </c>
      <c r="E84" s="575">
        <f t="shared" ca="1" si="5"/>
        <v>0.87547873698012657</v>
      </c>
      <c r="F84" s="574" t="str">
        <f t="shared" ca="1" si="4"/>
        <v>B</v>
      </c>
    </row>
    <row r="85" spans="1:6" ht="45">
      <c r="A85" s="574" t="s">
        <v>903</v>
      </c>
      <c r="B85" s="572" t="s">
        <v>905</v>
      </c>
      <c r="C85" s="573">
        <f>VLOOKUP(A85,'Planilha Orçamentária'!$B$20:$H$430,7,FALSE)</f>
        <v>8845.5499999999993</v>
      </c>
      <c r="D85" s="575">
        <f t="shared" ca="1" si="3"/>
        <v>2.3217600758765936E-3</v>
      </c>
      <c r="E85" s="575">
        <f t="shared" ca="1" si="5"/>
        <v>0.87780049705600316</v>
      </c>
      <c r="F85" s="574" t="str">
        <f t="shared" ca="1" si="4"/>
        <v>B</v>
      </c>
    </row>
    <row r="86" spans="1:6">
      <c r="A86" s="574" t="s">
        <v>624</v>
      </c>
      <c r="B86" s="572" t="s">
        <v>626</v>
      </c>
      <c r="C86" s="573">
        <f>VLOOKUP(A86,'Planilha Orçamentária'!$B$20:$H$430,7,FALSE)</f>
        <v>8677.24</v>
      </c>
      <c r="D86" s="575">
        <f t="shared" ca="1" si="3"/>
        <v>2.2775824455007788E-3</v>
      </c>
      <c r="E86" s="575">
        <f t="shared" ca="1" si="5"/>
        <v>0.88007807950150396</v>
      </c>
      <c r="F86" s="574" t="str">
        <f t="shared" ca="1" si="4"/>
        <v>B</v>
      </c>
    </row>
    <row r="87" spans="1:6" ht="45">
      <c r="A87" s="574" t="s">
        <v>654</v>
      </c>
      <c r="B87" s="572" t="s">
        <v>623</v>
      </c>
      <c r="C87" s="573">
        <f>VLOOKUP(A87,'Planilha Orçamentária'!$B$20:$H$430,7,FALSE)</f>
        <v>8279.0499999999993</v>
      </c>
      <c r="D87" s="575">
        <f t="shared" ca="1" si="3"/>
        <v>2.1730664295816667E-3</v>
      </c>
      <c r="E87" s="575">
        <f t="shared" ca="1" si="5"/>
        <v>0.88225114593108567</v>
      </c>
      <c r="F87" s="574" t="str">
        <f t="shared" ca="1" si="4"/>
        <v>B</v>
      </c>
    </row>
    <row r="88" spans="1:6" ht="30">
      <c r="A88" s="574" t="s">
        <v>179</v>
      </c>
      <c r="B88" s="572" t="s">
        <v>181</v>
      </c>
      <c r="C88" s="573">
        <f>VLOOKUP(A88,'Planilha Orçamentária'!$B$20:$H$430,7,FALSE)</f>
        <v>7868.2251999999999</v>
      </c>
      <c r="D88" s="575">
        <f t="shared" ca="1" si="3"/>
        <v>2.0652340597663373E-3</v>
      </c>
      <c r="E88" s="575">
        <f t="shared" ca="1" si="5"/>
        <v>0.884316379990852</v>
      </c>
      <c r="F88" s="574" t="str">
        <f t="shared" ca="1" si="4"/>
        <v>B</v>
      </c>
    </row>
    <row r="89" spans="1:6">
      <c r="A89" s="574" t="s">
        <v>253</v>
      </c>
      <c r="B89" s="572" t="s">
        <v>255</v>
      </c>
      <c r="C89" s="573">
        <f>VLOOKUP(A89,'Planilha Orçamentária'!$B$20:$H$430,7,FALSE)</f>
        <v>7832.9488000000001</v>
      </c>
      <c r="D89" s="575">
        <f t="shared" ca="1" si="3"/>
        <v>2.0559747896089528E-3</v>
      </c>
      <c r="E89" s="575">
        <f t="shared" ca="1" si="5"/>
        <v>0.88637235478046095</v>
      </c>
      <c r="F89" s="574" t="str">
        <f t="shared" ca="1" si="4"/>
        <v>B</v>
      </c>
    </row>
    <row r="90" spans="1:6">
      <c r="A90" s="574" t="s">
        <v>1045</v>
      </c>
      <c r="B90" s="572" t="s">
        <v>1047</v>
      </c>
      <c r="C90" s="573">
        <f>VLOOKUP(A90,'Planilha Orçamentária'!$B$20:$H$430,7,FALSE)</f>
        <v>7798.56</v>
      </c>
      <c r="D90" s="575">
        <f t="shared" ca="1" si="3"/>
        <v>2.0469484947039096E-3</v>
      </c>
      <c r="E90" s="575">
        <f t="shared" ca="1" si="5"/>
        <v>0.88841930327516483</v>
      </c>
      <c r="F90" s="574" t="str">
        <f t="shared" ca="1" si="4"/>
        <v>B</v>
      </c>
    </row>
    <row r="91" spans="1:6">
      <c r="A91" s="574" t="s">
        <v>1085</v>
      </c>
      <c r="B91" s="572" t="s">
        <v>1087</v>
      </c>
      <c r="C91" s="573">
        <f>VLOOKUP(A91,'Planilha Orçamentária'!$B$20:$H$430,7,FALSE)</f>
        <v>7403.7</v>
      </c>
      <c r="D91" s="575">
        <f t="shared" ca="1" si="3"/>
        <v>1.9433065296977053E-3</v>
      </c>
      <c r="E91" s="575">
        <f t="shared" ca="1" si="5"/>
        <v>0.89036260980486248</v>
      </c>
      <c r="F91" s="574" t="str">
        <f t="shared" ca="1" si="4"/>
        <v>B</v>
      </c>
    </row>
    <row r="92" spans="1:6" ht="30">
      <c r="A92" s="574" t="s">
        <v>167</v>
      </c>
      <c r="B92" s="572" t="s">
        <v>169</v>
      </c>
      <c r="C92" s="573">
        <f>VLOOKUP(A92,'Planilha Orçamentária'!$B$20:$H$430,7,FALSE)</f>
        <v>7310.55</v>
      </c>
      <c r="D92" s="575">
        <f t="shared" ca="1" si="3"/>
        <v>1.918856727133941E-3</v>
      </c>
      <c r="E92" s="575">
        <f t="shared" ca="1" si="5"/>
        <v>0.89228146653199647</v>
      </c>
      <c r="F92" s="574" t="str">
        <f t="shared" ca="1" si="4"/>
        <v>B</v>
      </c>
    </row>
    <row r="93" spans="1:6" ht="60">
      <c r="A93" s="574" t="s">
        <v>284</v>
      </c>
      <c r="B93" s="572" t="s">
        <v>286</v>
      </c>
      <c r="C93" s="573">
        <f ca="1">VLOOKUP(A93,'Planilha Orçamentária'!$B$20:$H$430,7,FALSE)</f>
        <v>7241.6075999999994</v>
      </c>
      <c r="D93" s="575">
        <f t="shared" ca="1" si="3"/>
        <v>1.9007608809903868E-3</v>
      </c>
      <c r="E93" s="575">
        <f t="shared" ca="1" si="5"/>
        <v>0.89418222741298681</v>
      </c>
      <c r="F93" s="574" t="str">
        <f t="shared" ca="1" si="4"/>
        <v>B</v>
      </c>
    </row>
    <row r="94" spans="1:6">
      <c r="A94" s="574" t="s">
        <v>321</v>
      </c>
      <c r="B94" s="572" t="s">
        <v>323</v>
      </c>
      <c r="C94" s="573">
        <f ca="1">VLOOKUP(A94,'Planilha Orçamentária'!$B$20:$H$430,7,FALSE)</f>
        <v>7092.6531000000004</v>
      </c>
      <c r="D94" s="575">
        <f t="shared" ca="1" si="3"/>
        <v>1.8616636387361282E-3</v>
      </c>
      <c r="E94" s="575">
        <f t="shared" ca="1" si="5"/>
        <v>0.89604389105172288</v>
      </c>
      <c r="F94" s="574" t="str">
        <f t="shared" ca="1" si="4"/>
        <v>B</v>
      </c>
    </row>
    <row r="95" spans="1:6" ht="45">
      <c r="A95" s="574" t="s">
        <v>900</v>
      </c>
      <c r="B95" s="572" t="s">
        <v>902</v>
      </c>
      <c r="C95" s="573">
        <f>VLOOKUP(A95,'Planilha Orçamentária'!$B$20:$H$430,7,FALSE)</f>
        <v>6757.2500000000009</v>
      </c>
      <c r="D95" s="575">
        <f t="shared" ca="1" si="3"/>
        <v>1.7736277871604495E-3</v>
      </c>
      <c r="E95" s="575">
        <f t="shared" ca="1" si="5"/>
        <v>0.89781751883888339</v>
      </c>
      <c r="F95" s="574" t="str">
        <f t="shared" ca="1" si="4"/>
        <v>B</v>
      </c>
    </row>
    <row r="96" spans="1:6" ht="30">
      <c r="A96" s="574" t="s">
        <v>817</v>
      </c>
      <c r="B96" s="572" t="s">
        <v>819</v>
      </c>
      <c r="C96" s="573">
        <f>VLOOKUP(A96,'Planilha Orçamentária'!$B$20:$H$430,7,FALSE)</f>
        <v>6663.9000000000005</v>
      </c>
      <c r="D96" s="575">
        <f t="shared" ca="1" si="3"/>
        <v>1.7491254890463605E-3</v>
      </c>
      <c r="E96" s="575">
        <f t="shared" ca="1" si="5"/>
        <v>0.89956664432792977</v>
      </c>
      <c r="F96" s="574" t="str">
        <f t="shared" ca="1" si="4"/>
        <v>B</v>
      </c>
    </row>
    <row r="97" spans="1:6" ht="30">
      <c r="A97" s="574" t="s">
        <v>573</v>
      </c>
      <c r="B97" s="572" t="s">
        <v>575</v>
      </c>
      <c r="C97" s="573">
        <f>VLOOKUP(A97,'Planilha Orçamentária'!$B$20:$H$430,7,FALSE)</f>
        <v>6604.64</v>
      </c>
      <c r="D97" s="575">
        <f t="shared" ca="1" si="3"/>
        <v>1.7335710574851294E-3</v>
      </c>
      <c r="E97" s="575">
        <f t="shared" ca="1" si="5"/>
        <v>0.90130021538541494</v>
      </c>
      <c r="F97" s="574" t="str">
        <f t="shared" ca="1" si="4"/>
        <v>B</v>
      </c>
    </row>
    <row r="98" spans="1:6" ht="45">
      <c r="A98" s="574" t="s">
        <v>391</v>
      </c>
      <c r="B98" s="572" t="s">
        <v>393</v>
      </c>
      <c r="C98" s="573">
        <f>VLOOKUP(A98,'Planilha Orçamentária'!$B$20:$H$430,7,FALSE)</f>
        <v>6522.84</v>
      </c>
      <c r="D98" s="575">
        <f t="shared" ca="1" si="3"/>
        <v>1.7121003774022961E-3</v>
      </c>
      <c r="E98" s="575">
        <f t="shared" ca="1" si="5"/>
        <v>0.90301231576281726</v>
      </c>
      <c r="F98" s="574" t="str">
        <f t="shared" ca="1" si="4"/>
        <v>B</v>
      </c>
    </row>
    <row r="99" spans="1:6">
      <c r="A99" s="574" t="s">
        <v>799</v>
      </c>
      <c r="B99" s="572" t="s">
        <v>801</v>
      </c>
      <c r="C99" s="573">
        <f>VLOOKUP(A99,'Planilha Orçamentária'!$B$20:$H$430,7,FALSE)</f>
        <v>6497.82</v>
      </c>
      <c r="D99" s="575">
        <f t="shared" ca="1" si="3"/>
        <v>1.7055331840566666E-3</v>
      </c>
      <c r="E99" s="575">
        <f t="shared" ca="1" si="5"/>
        <v>0.9047178489468739</v>
      </c>
      <c r="F99" s="574" t="str">
        <f t="shared" ca="1" si="4"/>
        <v>B</v>
      </c>
    </row>
    <row r="100" spans="1:6">
      <c r="A100" s="574" t="s">
        <v>987</v>
      </c>
      <c r="B100" s="572" t="s">
        <v>959</v>
      </c>
      <c r="C100" s="573">
        <f>VLOOKUP(A100,'Planilha Orçamentária'!$B$20:$H$430,7,FALSE)</f>
        <v>6435</v>
      </c>
      <c r="D100" s="575">
        <f t="shared" ca="1" si="3"/>
        <v>1.6890443316996547E-3</v>
      </c>
      <c r="E100" s="575">
        <f t="shared" ca="1" si="5"/>
        <v>0.9064068932785736</v>
      </c>
      <c r="F100" s="574" t="str">
        <f t="shared" ca="1" si="4"/>
        <v>B</v>
      </c>
    </row>
    <row r="101" spans="1:6" ht="45">
      <c r="A101" s="574" t="s">
        <v>541</v>
      </c>
      <c r="B101" s="572" t="s">
        <v>543</v>
      </c>
      <c r="C101" s="573">
        <f>VLOOKUP(A101,'Planilha Orçamentária'!$B$20:$H$430,7,FALSE)</f>
        <v>6434.52</v>
      </c>
      <c r="D101" s="575">
        <f t="shared" ca="1" si="3"/>
        <v>1.6889183423788754E-3</v>
      </c>
      <c r="E101" s="575">
        <f t="shared" ca="1" si="5"/>
        <v>0.90809581162095243</v>
      </c>
      <c r="F101" s="574" t="str">
        <f t="shared" ca="1" si="4"/>
        <v>B</v>
      </c>
    </row>
    <row r="102" spans="1:6" ht="45">
      <c r="A102" s="574" t="s">
        <v>42</v>
      </c>
      <c r="B102" s="572" t="s">
        <v>44</v>
      </c>
      <c r="C102" s="573">
        <f>VLOOKUP(A102,'Planilha Orçamentária'!$B$20:$H$430,7,FALSE)</f>
        <v>6266.2</v>
      </c>
      <c r="D102" s="575">
        <f t="shared" ca="1" si="3"/>
        <v>1.644738087225544E-3</v>
      </c>
      <c r="E102" s="575">
        <f t="shared" ca="1" si="5"/>
        <v>0.90974054970817797</v>
      </c>
      <c r="F102" s="574" t="str">
        <f t="shared" ca="1" si="4"/>
        <v>B</v>
      </c>
    </row>
    <row r="103" spans="1:6" ht="30">
      <c r="A103" s="574" t="s">
        <v>779</v>
      </c>
      <c r="B103" s="572" t="s">
        <v>780</v>
      </c>
      <c r="C103" s="573">
        <f>VLOOKUP(A103,'Planilha Orçamentária'!$B$20:$H$430,7,FALSE)</f>
        <v>6225.0000000000009</v>
      </c>
      <c r="D103" s="575">
        <f t="shared" ca="1" si="3"/>
        <v>1.6339240038586405E-3</v>
      </c>
      <c r="E103" s="575">
        <f t="shared" ca="1" si="5"/>
        <v>0.91137447371203661</v>
      </c>
      <c r="F103" s="574" t="str">
        <f t="shared" ca="1" si="4"/>
        <v>B</v>
      </c>
    </row>
    <row r="104" spans="1:6">
      <c r="A104" s="574" t="s">
        <v>1018</v>
      </c>
      <c r="B104" s="572" t="s">
        <v>1020</v>
      </c>
      <c r="C104" s="573">
        <f>VLOOKUP(A104,'Planilha Orçamentária'!$B$20:$H$430,7,FALSE)</f>
        <v>6218.8</v>
      </c>
      <c r="D104" s="575">
        <f t="shared" ca="1" si="3"/>
        <v>1.6322966417985723E-3</v>
      </c>
      <c r="E104" s="575">
        <f t="shared" ca="1" si="5"/>
        <v>0.91300677035383515</v>
      </c>
      <c r="F104" s="574" t="str">
        <f t="shared" ca="1" si="4"/>
        <v>B</v>
      </c>
    </row>
    <row r="105" spans="1:6" ht="45">
      <c r="A105" s="574" t="s">
        <v>609</v>
      </c>
      <c r="B105" s="572" t="s">
        <v>611</v>
      </c>
      <c r="C105" s="573">
        <f>VLOOKUP(A105,'Planilha Orçamentária'!$B$20:$H$430,7,FALSE)</f>
        <v>6198.09</v>
      </c>
      <c r="D105" s="575">
        <f t="shared" ca="1" si="3"/>
        <v>1.6268607275624419E-3</v>
      </c>
      <c r="E105" s="575">
        <f t="shared" ca="1" si="5"/>
        <v>0.91463363108139761</v>
      </c>
      <c r="F105" s="574" t="str">
        <f t="shared" ca="1" si="4"/>
        <v>B</v>
      </c>
    </row>
    <row r="106" spans="1:6" ht="30">
      <c r="A106" s="574" t="s">
        <v>386</v>
      </c>
      <c r="B106" s="572" t="s">
        <v>388</v>
      </c>
      <c r="C106" s="573">
        <f>VLOOKUP(A106,'Planilha Orçamentária'!$B$20:$H$430,7,FALSE)</f>
        <v>6197.35</v>
      </c>
      <c r="D106" s="575">
        <f t="shared" ca="1" si="3"/>
        <v>1.6266664940262402E-3</v>
      </c>
      <c r="E106" s="575">
        <f t="shared" ca="1" si="5"/>
        <v>0.91626029757542382</v>
      </c>
      <c r="F106" s="574" t="str">
        <f t="shared" ca="1" si="4"/>
        <v>B</v>
      </c>
    </row>
    <row r="107" spans="1:6" ht="45">
      <c r="A107" s="574" t="s">
        <v>176</v>
      </c>
      <c r="B107" s="572" t="s">
        <v>178</v>
      </c>
      <c r="C107" s="573">
        <f>VLOOKUP(A107,'Planilha Orçamentária'!$B$20:$H$430,7,FALSE)</f>
        <v>6171.36</v>
      </c>
      <c r="D107" s="575">
        <f t="shared" ca="1" si="3"/>
        <v>1.6198446972615355E-3</v>
      </c>
      <c r="E107" s="575">
        <f t="shared" ca="1" si="5"/>
        <v>0.91788014227268533</v>
      </c>
      <c r="F107" s="574" t="str">
        <f t="shared" ca="1" si="4"/>
        <v>B</v>
      </c>
    </row>
    <row r="108" spans="1:6" ht="30">
      <c r="A108" s="574" t="s">
        <v>448</v>
      </c>
      <c r="B108" s="1041" t="s">
        <v>450</v>
      </c>
      <c r="C108" s="573">
        <f>VLOOKUP(A108,'Planilha Orçamentária'!$B$20:$H$430,7,FALSE)</f>
        <v>6150.9000000000005</v>
      </c>
      <c r="D108" s="575">
        <f t="shared" ca="1" si="3"/>
        <v>1.614474402463311E-3</v>
      </c>
      <c r="E108" s="575">
        <f t="shared" ca="1" si="5"/>
        <v>0.91949461667514865</v>
      </c>
      <c r="F108" s="574" t="str">
        <f t="shared" ca="1" si="4"/>
        <v>B</v>
      </c>
    </row>
    <row r="109" spans="1:6">
      <c r="A109" s="574" t="s">
        <v>746</v>
      </c>
      <c r="B109" s="572" t="s">
        <v>748</v>
      </c>
      <c r="C109" s="573">
        <f>VLOOKUP(A109,'Planilha Orçamentária'!$B$20:$H$430,7,FALSE)</f>
        <v>6026.04</v>
      </c>
      <c r="D109" s="575">
        <f t="shared" ca="1" si="3"/>
        <v>1.5817014303955536E-3</v>
      </c>
      <c r="E109" s="575">
        <f t="shared" ca="1" si="5"/>
        <v>0.92107631810554425</v>
      </c>
      <c r="F109" s="574" t="str">
        <f t="shared" ca="1" si="4"/>
        <v>B</v>
      </c>
    </row>
    <row r="110" spans="1:6">
      <c r="A110" s="574" t="s">
        <v>79</v>
      </c>
      <c r="B110" s="572" t="s">
        <v>81</v>
      </c>
      <c r="C110" s="573">
        <f>VLOOKUP(A110,'Planilha Orçamentária'!$B$20:$H$430,7,FALSE)</f>
        <v>6013.0655460000007</v>
      </c>
      <c r="D110" s="575">
        <f t="shared" ca="1" si="3"/>
        <v>1.5782959248810864E-3</v>
      </c>
      <c r="E110" s="575">
        <f t="shared" ca="1" si="5"/>
        <v>0.92265461403042537</v>
      </c>
      <c r="F110" s="574" t="str">
        <f t="shared" ca="1" si="4"/>
        <v>B</v>
      </c>
    </row>
    <row r="111" spans="1:6" ht="45">
      <c r="A111" s="574" t="s">
        <v>365</v>
      </c>
      <c r="B111" s="572" t="s">
        <v>367</v>
      </c>
      <c r="C111" s="573">
        <f>VLOOKUP(A111,'Planilha Orçamentária'!$B$20:$H$430,7,FALSE)</f>
        <v>5550.24</v>
      </c>
      <c r="D111" s="575">
        <f t="shared" ca="1" si="3"/>
        <v>1.4568145161729124E-3</v>
      </c>
      <c r="E111" s="575">
        <f t="shared" ca="1" si="5"/>
        <v>0.92411142854659833</v>
      </c>
      <c r="F111" s="574" t="str">
        <f t="shared" ca="1" si="4"/>
        <v>B</v>
      </c>
    </row>
    <row r="112" spans="1:6" ht="45">
      <c r="A112" s="574" t="s">
        <v>51</v>
      </c>
      <c r="B112" s="572" t="s">
        <v>53</v>
      </c>
      <c r="C112" s="573">
        <f>VLOOKUP(A112,'Planilha Orçamentária'!$B$20:$H$430,7,FALSE)</f>
        <v>5521.6130000000003</v>
      </c>
      <c r="D112" s="575">
        <f t="shared" ca="1" si="3"/>
        <v>1.4493005655771757E-3</v>
      </c>
      <c r="E112" s="575">
        <f t="shared" ca="1" si="5"/>
        <v>0.92556072911217546</v>
      </c>
      <c r="F112" s="574" t="str">
        <f t="shared" ca="1" si="4"/>
        <v>B</v>
      </c>
    </row>
    <row r="113" spans="1:6" ht="45">
      <c r="A113" s="574" t="s">
        <v>368</v>
      </c>
      <c r="B113" s="572" t="s">
        <v>370</v>
      </c>
      <c r="C113" s="573">
        <f>VLOOKUP(A113,'Planilha Orçamentária'!$B$20:$H$430,7,FALSE)</f>
        <v>5474.35</v>
      </c>
      <c r="D113" s="575">
        <f t="shared" ca="1" si="3"/>
        <v>1.4368950796021765E-3</v>
      </c>
      <c r="E113" s="575">
        <f t="shared" ca="1" si="5"/>
        <v>0.92699762419177767</v>
      </c>
      <c r="F113" s="574" t="str">
        <f t="shared" ca="1" si="4"/>
        <v>B</v>
      </c>
    </row>
    <row r="114" spans="1:6" ht="30">
      <c r="A114" s="574" t="s">
        <v>1069</v>
      </c>
      <c r="B114" s="572" t="s">
        <v>1071</v>
      </c>
      <c r="C114" s="573">
        <f>VLOOKUP(A114,'Planilha Orçamentária'!$B$20:$H$430,7,FALSE)</f>
        <v>5096.9148999999998</v>
      </c>
      <c r="D114" s="575">
        <f t="shared" ca="1" si="3"/>
        <v>1.3378267631702428E-3</v>
      </c>
      <c r="E114" s="575">
        <f t="shared" ca="1" si="5"/>
        <v>0.92833545095494796</v>
      </c>
      <c r="F114" s="574" t="str">
        <f t="shared" ca="1" si="4"/>
        <v>B</v>
      </c>
    </row>
    <row r="115" spans="1:6" ht="45">
      <c r="A115" s="574" t="s">
        <v>272</v>
      </c>
      <c r="B115" s="572" t="s">
        <v>274</v>
      </c>
      <c r="C115" s="573">
        <f>VLOOKUP(A115,'Planilha Orçamentária'!$B$20:$H$430,7,FALSE)</f>
        <v>4994.5727999999999</v>
      </c>
      <c r="D115" s="575">
        <f t="shared" ca="1" si="3"/>
        <v>1.3109642388657767E-3</v>
      </c>
      <c r="E115" s="575">
        <f t="shared" ca="1" si="5"/>
        <v>0.92964641519381375</v>
      </c>
      <c r="F115" s="574" t="str">
        <f t="shared" ca="1" si="4"/>
        <v>B</v>
      </c>
    </row>
    <row r="116" spans="1:6">
      <c r="A116" s="574" t="s">
        <v>732</v>
      </c>
      <c r="B116" s="572" t="s">
        <v>734</v>
      </c>
      <c r="C116" s="573">
        <f>VLOOKUP(A116,'Planilha Orçamentária'!$B$20:$H$430,7,FALSE)</f>
        <v>4974</v>
      </c>
      <c r="D116" s="575">
        <f t="shared" ca="1" si="3"/>
        <v>1.3055643365771691E-3</v>
      </c>
      <c r="E116" s="575">
        <f t="shared" ca="1" si="5"/>
        <v>0.93095197953039088</v>
      </c>
      <c r="F116" s="574" t="str">
        <f t="shared" ca="1" si="4"/>
        <v>B</v>
      </c>
    </row>
    <row r="117" spans="1:6" ht="45">
      <c r="A117" s="574" t="s">
        <v>621</v>
      </c>
      <c r="B117" s="572" t="s">
        <v>623</v>
      </c>
      <c r="C117" s="573">
        <f>VLOOKUP(A117,'Planilha Orçamentária'!$B$20:$H$430,7,FALSE)</f>
        <v>4967.43</v>
      </c>
      <c r="D117" s="575">
        <f t="shared" ca="1" si="3"/>
        <v>1.3038398577490001E-3</v>
      </c>
      <c r="E117" s="575">
        <f t="shared" ca="1" si="5"/>
        <v>0.93225581938813984</v>
      </c>
      <c r="F117" s="574" t="str">
        <f t="shared" ca="1" si="4"/>
        <v>B</v>
      </c>
    </row>
    <row r="118" spans="1:6">
      <c r="A118" s="574" t="s">
        <v>324</v>
      </c>
      <c r="B118" s="572" t="s">
        <v>326</v>
      </c>
      <c r="C118" s="573">
        <f>VLOOKUP(A118,'Planilha Orçamentária'!$B$20:$H$430,7,FALSE)</f>
        <v>4964.582699999999</v>
      </c>
      <c r="D118" s="575">
        <f t="shared" ca="1" si="3"/>
        <v>1.3030925048468011E-3</v>
      </c>
      <c r="E118" s="575">
        <f t="shared" ca="1" si="5"/>
        <v>0.93355891189298668</v>
      </c>
      <c r="F118" s="574" t="str">
        <f t="shared" ca="1" si="4"/>
        <v>B</v>
      </c>
    </row>
    <row r="119" spans="1:6" ht="45">
      <c r="A119" s="574" t="s">
        <v>54</v>
      </c>
      <c r="B119" s="572" t="s">
        <v>56</v>
      </c>
      <c r="C119" s="573">
        <f>VLOOKUP(A119,'Planilha Orçamentária'!$B$20:$H$430,7,FALSE)</f>
        <v>4943.0919999999996</v>
      </c>
      <c r="D119" s="575">
        <f t="shared" ca="1" si="3"/>
        <v>1.2974516742299781E-3</v>
      </c>
      <c r="E119" s="575">
        <f t="shared" ca="1" si="5"/>
        <v>0.93485636356721669</v>
      </c>
      <c r="F119" s="574" t="str">
        <f t="shared" ca="1" si="4"/>
        <v>B</v>
      </c>
    </row>
    <row r="120" spans="1:6">
      <c r="A120" s="574" t="s">
        <v>951</v>
      </c>
      <c r="B120" s="572" t="s">
        <v>953</v>
      </c>
      <c r="C120" s="573">
        <f>VLOOKUP(A120,'Planilha Orçamentária'!$B$20:$H$430,7,FALSE)</f>
        <v>4330.5</v>
      </c>
      <c r="D120" s="575">
        <f t="shared" ca="1" si="3"/>
        <v>1.1366599034072036E-3</v>
      </c>
      <c r="E120" s="575">
        <f t="shared" ref="E120:E183" ca="1" si="6">D120+E119</f>
        <v>0.93599302347062385</v>
      </c>
      <c r="F120" s="574" t="str">
        <f t="shared" ca="1" si="4"/>
        <v>B</v>
      </c>
    </row>
    <row r="121" spans="1:6" ht="30">
      <c r="A121" s="574" t="s">
        <v>132</v>
      </c>
      <c r="B121" s="572" t="s">
        <v>134</v>
      </c>
      <c r="C121" s="573">
        <f>VLOOKUP(A121,'Planilha Orçamentária'!$B$20:$H$430,7,FALSE)</f>
        <v>4319.3999999999996</v>
      </c>
      <c r="D121" s="575">
        <f t="shared" ca="1" si="3"/>
        <v>1.1337464003641784E-3</v>
      </c>
      <c r="E121" s="575">
        <f t="shared" ca="1" si="6"/>
        <v>0.93712676987098809</v>
      </c>
      <c r="F121" s="574" t="str">
        <f t="shared" ca="1" si="4"/>
        <v>B</v>
      </c>
    </row>
    <row r="122" spans="1:6" ht="30">
      <c r="A122" s="574" t="s">
        <v>757</v>
      </c>
      <c r="B122" s="572" t="s">
        <v>759</v>
      </c>
      <c r="C122" s="573">
        <f>VLOOKUP(A122,'Planilha Orçamentária'!$B$20:$H$430,7,FALSE)</f>
        <v>4150</v>
      </c>
      <c r="D122" s="575">
        <f t="shared" ca="1" si="3"/>
        <v>1.0892826692390936E-3</v>
      </c>
      <c r="E122" s="575">
        <f t="shared" ca="1" si="6"/>
        <v>0.93821605254022722</v>
      </c>
      <c r="F122" s="574" t="str">
        <f t="shared" ca="1" si="4"/>
        <v>B</v>
      </c>
    </row>
    <row r="123" spans="1:6" ht="30">
      <c r="A123" s="574" t="s">
        <v>760</v>
      </c>
      <c r="B123" s="572" t="s">
        <v>761</v>
      </c>
      <c r="C123" s="573">
        <f>VLOOKUP(A123,'Planilha Orçamentária'!$B$20:$H$430,7,FALSE)</f>
        <v>4150</v>
      </c>
      <c r="D123" s="575">
        <f t="shared" ca="1" si="3"/>
        <v>1.0892826692390936E-3</v>
      </c>
      <c r="E123" s="575">
        <f t="shared" ca="1" si="6"/>
        <v>0.93930533520946635</v>
      </c>
      <c r="F123" s="574" t="str">
        <f t="shared" ca="1" si="4"/>
        <v>B</v>
      </c>
    </row>
    <row r="124" spans="1:6" ht="30">
      <c r="A124" s="574" t="s">
        <v>762</v>
      </c>
      <c r="B124" s="572" t="s">
        <v>763</v>
      </c>
      <c r="C124" s="573">
        <f>VLOOKUP(A124,'Planilha Orçamentária'!$B$20:$H$430,7,FALSE)</f>
        <v>4150</v>
      </c>
      <c r="D124" s="575">
        <f t="shared" ca="1" si="3"/>
        <v>1.0892826692390936E-3</v>
      </c>
      <c r="E124" s="575">
        <f t="shared" ca="1" si="6"/>
        <v>0.94039461787870549</v>
      </c>
      <c r="F124" s="574" t="str">
        <f t="shared" ca="1" si="4"/>
        <v>B</v>
      </c>
    </row>
    <row r="125" spans="1:6" ht="30">
      <c r="A125" s="574" t="s">
        <v>48</v>
      </c>
      <c r="B125" s="572" t="s">
        <v>50</v>
      </c>
      <c r="C125" s="573">
        <f>VLOOKUP(A125,'Planilha Orçamentária'!$B$20:$H$430,7,FALSE)</f>
        <v>4107</v>
      </c>
      <c r="D125" s="575">
        <f t="shared" ca="1" si="3"/>
        <v>1.0779961259192669E-3</v>
      </c>
      <c r="E125" s="575">
        <f t="shared" ca="1" si="6"/>
        <v>0.94147261400462479</v>
      </c>
      <c r="F125" s="574" t="str">
        <f t="shared" ca="1" si="4"/>
        <v>B</v>
      </c>
    </row>
    <row r="126" spans="1:6" ht="30">
      <c r="A126" s="574" t="s">
        <v>138</v>
      </c>
      <c r="B126" s="572" t="s">
        <v>140</v>
      </c>
      <c r="C126" s="573">
        <f>VLOOKUP(A126,'Planilha Orçamentária'!$B$20:$H$430,7,FALSE)</f>
        <v>3995.5754999999999</v>
      </c>
      <c r="D126" s="575">
        <f t="shared" ca="1" si="3"/>
        <v>1.048749673683452E-3</v>
      </c>
      <c r="E126" s="575">
        <f t="shared" ca="1" si="6"/>
        <v>0.94252136367830819</v>
      </c>
      <c r="F126" s="574" t="str">
        <f t="shared" ca="1" si="4"/>
        <v>B</v>
      </c>
    </row>
    <row r="127" spans="1:6" ht="30">
      <c r="A127" s="574" t="s">
        <v>453</v>
      </c>
      <c r="B127" s="572" t="s">
        <v>455</v>
      </c>
      <c r="C127" s="573">
        <f>VLOOKUP(A127,'Planilha Orçamentária'!$B$20:$H$430,7,FALSE)</f>
        <v>3832.3</v>
      </c>
      <c r="D127" s="575">
        <f t="shared" ca="1" si="3"/>
        <v>1.0058934875481875E-3</v>
      </c>
      <c r="E127" s="575">
        <f t="shared" ca="1" si="6"/>
        <v>0.94352725716585639</v>
      </c>
      <c r="F127" s="574" t="str">
        <f t="shared" ca="1" si="4"/>
        <v>B</v>
      </c>
    </row>
    <row r="128" spans="1:6" ht="30">
      <c r="A128" s="574" t="s">
        <v>405</v>
      </c>
      <c r="B128" s="572" t="s">
        <v>407</v>
      </c>
      <c r="C128" s="573">
        <f>VLOOKUP(A128,'Planilha Orçamentária'!$B$20:$H$430,7,FALSE)</f>
        <v>3822</v>
      </c>
      <c r="D128" s="575">
        <f t="shared" ca="1" si="3"/>
        <v>1.0031899667064617E-3</v>
      </c>
      <c r="E128" s="575">
        <f t="shared" ca="1" si="6"/>
        <v>0.94453044713256284</v>
      </c>
      <c r="F128" s="574" t="str">
        <f t="shared" ca="1" si="4"/>
        <v>B</v>
      </c>
    </row>
    <row r="129" spans="1:6" ht="30">
      <c r="A129" s="574" t="s">
        <v>340</v>
      </c>
      <c r="B129" s="572" t="s">
        <v>342</v>
      </c>
      <c r="C129" s="573">
        <f>VLOOKUP(A129,'Planilha Orçamentária'!$B$20:$H$430,7,FALSE)</f>
        <v>3685.5</v>
      </c>
      <c r="D129" s="575">
        <f t="shared" ca="1" si="3"/>
        <v>9.6736175360980219E-4</v>
      </c>
      <c r="E129" s="575">
        <f t="shared" ca="1" si="6"/>
        <v>0.94549780888617263</v>
      </c>
      <c r="F129" s="574" t="str">
        <f t="shared" ca="1" si="4"/>
        <v>B</v>
      </c>
    </row>
    <row r="130" spans="1:6" ht="30">
      <c r="A130" s="574" t="s">
        <v>45</v>
      </c>
      <c r="B130" s="572" t="s">
        <v>47</v>
      </c>
      <c r="C130" s="573">
        <f>VLOOKUP(A130,'Planilha Orçamentária'!$B$20:$H$430,7,FALSE)</f>
        <v>3642.4</v>
      </c>
      <c r="D130" s="575">
        <f t="shared" ca="1" si="3"/>
        <v>9.5604896251481311E-4</v>
      </c>
      <c r="E130" s="575">
        <f t="shared" ca="1" si="6"/>
        <v>0.94645385784868741</v>
      </c>
      <c r="F130" s="574" t="str">
        <f t="shared" ca="1" si="4"/>
        <v>B</v>
      </c>
    </row>
    <row r="131" spans="1:6" ht="30">
      <c r="A131" s="574" t="s">
        <v>588</v>
      </c>
      <c r="B131" s="572" t="s">
        <v>590</v>
      </c>
      <c r="C131" s="573">
        <f>VLOOKUP(A131,'Planilha Orçamentária'!$B$20:$H$430,7,FALSE)</f>
        <v>3622</v>
      </c>
      <c r="D131" s="575">
        <f t="shared" ca="1" si="3"/>
        <v>9.5069441638168594E-4</v>
      </c>
      <c r="E131" s="575">
        <f t="shared" ca="1" si="6"/>
        <v>0.94740455226506914</v>
      </c>
      <c r="F131" s="574" t="str">
        <f t="shared" ca="1" si="4"/>
        <v>B</v>
      </c>
    </row>
    <row r="132" spans="1:6" ht="30">
      <c r="A132" s="574" t="s">
        <v>1113</v>
      </c>
      <c r="B132" s="572" t="s">
        <v>1114</v>
      </c>
      <c r="C132" s="573">
        <f>VLOOKUP(A132,'Planilha Orçamentária'!$B$20:$H$430,7,FALSE)</f>
        <v>3544.0469999999996</v>
      </c>
      <c r="D132" s="575">
        <f t="shared" ca="1" si="3"/>
        <v>9.3023348820934972E-4</v>
      </c>
      <c r="E132" s="575">
        <f t="shared" ca="1" si="6"/>
        <v>0.94833478575327845</v>
      </c>
      <c r="F132" s="574" t="str">
        <f t="shared" ca="1" si="4"/>
        <v>B</v>
      </c>
    </row>
    <row r="133" spans="1:6" ht="45">
      <c r="A133" s="574" t="s">
        <v>287</v>
      </c>
      <c r="B133" s="572" t="s">
        <v>289</v>
      </c>
      <c r="C133" s="573">
        <f ca="1">VLOOKUP(A133,'Planilha Orçamentária'!$B$20:$H$430,7,FALSE)</f>
        <v>3530.2607999999996</v>
      </c>
      <c r="D133" s="575">
        <f t="shared" ref="D133:D181" ca="1" si="7">C133/$C$335</f>
        <v>9.2661491742991261E-4</v>
      </c>
      <c r="E133" s="575">
        <f t="shared" ca="1" si="6"/>
        <v>0.94926140067070841</v>
      </c>
      <c r="F133" s="574" t="str">
        <f t="shared" ref="F133:F164" ca="1" si="8">IF(E133&lt;=$K$4,"A",IF(E133&lt;=$K$5,"B","C"))</f>
        <v>B</v>
      </c>
    </row>
    <row r="134" spans="1:6" ht="45">
      <c r="A134" s="574" t="s">
        <v>126</v>
      </c>
      <c r="B134" s="572" t="s">
        <v>128</v>
      </c>
      <c r="C134" s="573">
        <f>VLOOKUP(A134,'Planilha Orçamentária'!$B$20:$H$430,7,FALSE)</f>
        <v>3479.3098199999999</v>
      </c>
      <c r="D134" s="575">
        <f t="shared" ca="1" si="7"/>
        <v>9.1324141875647954E-4</v>
      </c>
      <c r="E134" s="575">
        <f t="shared" ca="1" si="6"/>
        <v>0.95017464208946489</v>
      </c>
      <c r="F134" s="574" t="str">
        <f t="shared" ca="1" si="8"/>
        <v>C</v>
      </c>
    </row>
    <row r="135" spans="1:6">
      <c r="A135" s="574" t="s">
        <v>954</v>
      </c>
      <c r="B135" s="572" t="s">
        <v>956</v>
      </c>
      <c r="C135" s="573">
        <f>VLOOKUP(A135,'Planilha Orçamentária'!$B$20:$H$430,7,FALSE)</f>
        <v>3327.16</v>
      </c>
      <c r="D135" s="575">
        <f t="shared" ca="1" si="7"/>
        <v>8.7330547609290176E-4</v>
      </c>
      <c r="E135" s="575">
        <f t="shared" ca="1" si="6"/>
        <v>0.95104794756555777</v>
      </c>
      <c r="F135" s="574" t="str">
        <f t="shared" ca="1" si="8"/>
        <v>C</v>
      </c>
    </row>
    <row r="136" spans="1:6" ht="30">
      <c r="A136" s="574" t="s">
        <v>784</v>
      </c>
      <c r="B136" s="572" t="s">
        <v>786</v>
      </c>
      <c r="C136" s="573">
        <f>VLOOKUP(A136,'Planilha Orçamentária'!$B$20:$H$430,7,FALSE)</f>
        <v>3240.9</v>
      </c>
      <c r="D136" s="575">
        <f t="shared" ca="1" si="7"/>
        <v>8.5066414523782611E-4</v>
      </c>
      <c r="E136" s="575">
        <f t="shared" ca="1" si="6"/>
        <v>0.95189861171079559</v>
      </c>
      <c r="F136" s="574" t="str">
        <f t="shared" ca="1" si="8"/>
        <v>C</v>
      </c>
    </row>
    <row r="137" spans="1:6" ht="30">
      <c r="A137" s="574" t="s">
        <v>570</v>
      </c>
      <c r="B137" s="572" t="s">
        <v>572</v>
      </c>
      <c r="C137" s="573">
        <f>VLOOKUP(A137,'Planilha Orçamentária'!$B$20:$H$430,7,FALSE)</f>
        <v>3124.68</v>
      </c>
      <c r="D137" s="575">
        <f t="shared" ca="1" si="7"/>
        <v>8.2015898094409893E-4</v>
      </c>
      <c r="E137" s="575">
        <f t="shared" ca="1" si="6"/>
        <v>0.95271877069173971</v>
      </c>
      <c r="F137" s="574" t="str">
        <f t="shared" ca="1" si="8"/>
        <v>C</v>
      </c>
    </row>
    <row r="138" spans="1:6">
      <c r="A138" s="574" t="s">
        <v>808</v>
      </c>
      <c r="B138" s="572" t="s">
        <v>810</v>
      </c>
      <c r="C138" s="573">
        <f>VLOOKUP(A138,'Planilha Orçamentária'!$B$20:$H$430,7,FALSE)</f>
        <v>3096.6</v>
      </c>
      <c r="D138" s="575">
        <f t="shared" ca="1" si="7"/>
        <v>8.1278860567850046E-4</v>
      </c>
      <c r="E138" s="575">
        <f t="shared" ca="1" si="6"/>
        <v>0.95353155929741817</v>
      </c>
      <c r="F138" s="574" t="str">
        <f t="shared" ca="1" si="8"/>
        <v>C</v>
      </c>
    </row>
    <row r="139" spans="1:6">
      <c r="A139" s="574" t="s">
        <v>1060</v>
      </c>
      <c r="B139" s="572" t="s">
        <v>1062</v>
      </c>
      <c r="C139" s="573">
        <f>VLOOKUP(A139,'Planilha Orçamentária'!$B$20:$H$430,7,FALSE)</f>
        <v>3089.8112000000001</v>
      </c>
      <c r="D139" s="575">
        <f t="shared" ca="1" si="7"/>
        <v>8.1100669671827635E-4</v>
      </c>
      <c r="E139" s="575">
        <f t="shared" ca="1" si="6"/>
        <v>0.95434256599413647</v>
      </c>
      <c r="F139" s="574" t="str">
        <f t="shared" ca="1" si="8"/>
        <v>C</v>
      </c>
    </row>
    <row r="140" spans="1:6" ht="30">
      <c r="A140" s="574" t="s">
        <v>456</v>
      </c>
      <c r="B140" s="572" t="s">
        <v>458</v>
      </c>
      <c r="C140" s="573">
        <f>VLOOKUP(A140,'Planilha Orçamentária'!$B$20:$H$430,7,FALSE)</f>
        <v>3078</v>
      </c>
      <c r="D140" s="575">
        <f t="shared" ca="1" si="7"/>
        <v>8.0790651949829632E-4</v>
      </c>
      <c r="E140" s="575">
        <f t="shared" ca="1" si="6"/>
        <v>0.95515047251363472</v>
      </c>
      <c r="F140" s="574" t="str">
        <f t="shared" ca="1" si="8"/>
        <v>C</v>
      </c>
    </row>
    <row r="141" spans="1:6">
      <c r="A141" s="574" t="s">
        <v>305</v>
      </c>
      <c r="B141" s="572" t="s">
        <v>307</v>
      </c>
      <c r="C141" s="573">
        <f>VLOOKUP(A141,'Planilha Orçamentária'!$B$20:$H$430,7,FALSE)</f>
        <v>3070.1977000000002</v>
      </c>
      <c r="D141" s="575">
        <f t="shared" ca="1" si="7"/>
        <v>8.0585858933680137E-4</v>
      </c>
      <c r="E141" s="575">
        <f t="shared" ca="1" si="6"/>
        <v>0.95595633110297151</v>
      </c>
      <c r="F141" s="574" t="str">
        <f t="shared" ca="1" si="8"/>
        <v>C</v>
      </c>
    </row>
    <row r="142" spans="1:6">
      <c r="A142" s="574" t="s">
        <v>948</v>
      </c>
      <c r="B142" s="572" t="s">
        <v>950</v>
      </c>
      <c r="C142" s="573">
        <f>VLOOKUP(A142,'Planilha Orçamentária'!$B$20:$H$430,7,FALSE)</f>
        <v>3021.95</v>
      </c>
      <c r="D142" s="575">
        <f t="shared" ca="1" si="7"/>
        <v>7.9319464151977794E-4</v>
      </c>
      <c r="E142" s="575">
        <f t="shared" ca="1" si="6"/>
        <v>0.95674952574449124</v>
      </c>
      <c r="F142" s="574" t="str">
        <f t="shared" ca="1" si="8"/>
        <v>C</v>
      </c>
    </row>
    <row r="143" spans="1:6" ht="30">
      <c r="A143" s="574" t="s">
        <v>213</v>
      </c>
      <c r="B143" s="572" t="s">
        <v>215</v>
      </c>
      <c r="C143" s="573">
        <f>VLOOKUP(A143,'Planilha Orçamentária'!$B$20:$H$430,7,FALSE)</f>
        <v>2956.1860999999999</v>
      </c>
      <c r="D143" s="575">
        <f t="shared" ca="1" si="7"/>
        <v>7.7593308090976047E-4</v>
      </c>
      <c r="E143" s="575">
        <f t="shared" ca="1" si="6"/>
        <v>0.95752545882540097</v>
      </c>
      <c r="F143" s="574" t="str">
        <f t="shared" ca="1" si="8"/>
        <v>C</v>
      </c>
    </row>
    <row r="144" spans="1:6" ht="30">
      <c r="A144" s="574" t="s">
        <v>411</v>
      </c>
      <c r="B144" s="572" t="s">
        <v>413</v>
      </c>
      <c r="C144" s="573">
        <f>VLOOKUP(A144,'Planilha Orçamentária'!$B$20:$H$430,7,FALSE)</f>
        <v>2952</v>
      </c>
      <c r="D144" s="575">
        <f t="shared" ca="1" si="7"/>
        <v>7.7483432279368779E-4</v>
      </c>
      <c r="E144" s="575">
        <f t="shared" ca="1" si="6"/>
        <v>0.95830029314819465</v>
      </c>
      <c r="F144" s="574" t="str">
        <f t="shared" ca="1" si="8"/>
        <v>C</v>
      </c>
    </row>
    <row r="145" spans="1:6">
      <c r="A145" s="574" t="s">
        <v>969</v>
      </c>
      <c r="B145" s="572" t="s">
        <v>971</v>
      </c>
      <c r="C145" s="573">
        <f>VLOOKUP(A145,'Planilha Orçamentária'!$B$20:$H$430,7,FALSE)</f>
        <v>2939.57</v>
      </c>
      <c r="D145" s="575">
        <f t="shared" ca="1" si="7"/>
        <v>7.7157172434100295E-4</v>
      </c>
      <c r="E145" s="575">
        <f t="shared" ca="1" si="6"/>
        <v>0.95907186487253571</v>
      </c>
      <c r="F145" s="574" t="str">
        <f t="shared" ca="1" si="8"/>
        <v>C</v>
      </c>
    </row>
    <row r="146" spans="1:6">
      <c r="A146" s="574" t="s">
        <v>979</v>
      </c>
      <c r="B146" s="572" t="s">
        <v>981</v>
      </c>
      <c r="C146" s="573">
        <f>VLOOKUP(A146,'Planilha Orçamentária'!$B$20:$H$430,7,FALSE)</f>
        <v>2914.64</v>
      </c>
      <c r="D146" s="575">
        <f t="shared" ca="1" si="7"/>
        <v>7.6502815399301968E-4</v>
      </c>
      <c r="E146" s="575">
        <f t="shared" ca="1" si="6"/>
        <v>0.95983689302652875</v>
      </c>
      <c r="F146" s="574" t="str">
        <f t="shared" ca="1" si="8"/>
        <v>C</v>
      </c>
    </row>
    <row r="147" spans="1:6" ht="30">
      <c r="A147" s="574" t="s">
        <v>1110</v>
      </c>
      <c r="B147" s="572" t="s">
        <v>1112</v>
      </c>
      <c r="C147" s="573">
        <f>VLOOKUP(A147,'Planilha Orçamentária'!$B$20:$H$430,7,FALSE)</f>
        <v>2891.44</v>
      </c>
      <c r="D147" s="575">
        <f t="shared" ca="1" si="7"/>
        <v>7.5893867015534573E-4</v>
      </c>
      <c r="E147" s="575">
        <f t="shared" ca="1" si="6"/>
        <v>0.96059583169668405</v>
      </c>
      <c r="F147" s="574" t="str">
        <f t="shared" ca="1" si="8"/>
        <v>C</v>
      </c>
    </row>
    <row r="148" spans="1:6" ht="30">
      <c r="A148" s="574" t="s">
        <v>359</v>
      </c>
      <c r="B148" s="572" t="s">
        <v>361</v>
      </c>
      <c r="C148" s="573">
        <f>VLOOKUP(A148,'Planilha Orçamentária'!$B$20:$H$430,7,FALSE)</f>
        <v>2649.2840000000001</v>
      </c>
      <c r="D148" s="575">
        <f t="shared" ca="1" si="7"/>
        <v>6.9537810773311396E-4</v>
      </c>
      <c r="E148" s="575">
        <f t="shared" ca="1" si="6"/>
        <v>0.96129120980441718</v>
      </c>
      <c r="F148" s="574" t="str">
        <f t="shared" ca="1" si="8"/>
        <v>C</v>
      </c>
    </row>
    <row r="149" spans="1:6" ht="30">
      <c r="A149" s="574" t="s">
        <v>143</v>
      </c>
      <c r="B149" s="572" t="s">
        <v>145</v>
      </c>
      <c r="C149" s="573">
        <f>VLOOKUP(A149,'Planilha Orçamentária'!$B$20:$H$430,7,FALSE)</f>
        <v>2546.8380000000002</v>
      </c>
      <c r="D149" s="575">
        <f t="shared" ca="1" si="7"/>
        <v>6.6848831199025412E-4</v>
      </c>
      <c r="E149" s="575">
        <f t="shared" ca="1" si="6"/>
        <v>0.96195969811640747</v>
      </c>
      <c r="F149" s="574" t="str">
        <f t="shared" ca="1" si="8"/>
        <v>C</v>
      </c>
    </row>
    <row r="150" spans="1:6">
      <c r="A150" s="574" t="s">
        <v>32</v>
      </c>
      <c r="B150" s="572" t="s">
        <v>34</v>
      </c>
      <c r="C150" s="573">
        <f>VLOOKUP(A150,'Planilha Orçamentária'!$B$20:$H$430,7,FALSE)</f>
        <v>2456.7199999999998</v>
      </c>
      <c r="D150" s="575">
        <f t="shared" ca="1" si="7"/>
        <v>6.4483434196941345E-4</v>
      </c>
      <c r="E150" s="575">
        <f t="shared" ca="1" si="6"/>
        <v>0.96260453245837685</v>
      </c>
      <c r="F150" s="574" t="str">
        <f t="shared" ca="1" si="8"/>
        <v>C</v>
      </c>
    </row>
    <row r="151" spans="1:6">
      <c r="A151" s="574" t="s">
        <v>1079</v>
      </c>
      <c r="B151" s="572" t="s">
        <v>1081</v>
      </c>
      <c r="C151" s="573">
        <f>VLOOKUP(A151,'Planilha Orçamentária'!$B$20:$H$430,7,FALSE)</f>
        <v>2450.35</v>
      </c>
      <c r="D151" s="575">
        <f t="shared" ca="1" si="7"/>
        <v>6.4316235869156936E-4</v>
      </c>
      <c r="E151" s="575">
        <f t="shared" ca="1" si="6"/>
        <v>0.9632476948170684</v>
      </c>
      <c r="F151" s="574" t="str">
        <f t="shared" ca="1" si="8"/>
        <v>C</v>
      </c>
    </row>
    <row r="152" spans="1:6">
      <c r="A152" s="574" t="s">
        <v>749</v>
      </c>
      <c r="B152" s="572" t="s">
        <v>751</v>
      </c>
      <c r="C152" s="573">
        <f>VLOOKUP(A152,'Planilha Orçamentária'!$B$20:$H$430,7,FALSE)</f>
        <v>2435.4</v>
      </c>
      <c r="D152" s="575">
        <f t="shared" ca="1" si="7"/>
        <v>6.3923831630479245E-4</v>
      </c>
      <c r="E152" s="575">
        <f t="shared" ca="1" si="6"/>
        <v>0.96388693313337315</v>
      </c>
      <c r="F152" s="574" t="str">
        <f t="shared" ca="1" si="8"/>
        <v>C</v>
      </c>
    </row>
    <row r="153" spans="1:6" ht="30">
      <c r="A153" s="574" t="s">
        <v>639</v>
      </c>
      <c r="B153" s="572" t="s">
        <v>641</v>
      </c>
      <c r="C153" s="573">
        <f>VLOOKUP(A153,'Planilha Orçamentária'!$B$20:$H$430,7,FALSE)</f>
        <v>2433.6000000000004</v>
      </c>
      <c r="D153" s="575">
        <f t="shared" ca="1" si="7"/>
        <v>6.3876585635186953E-4</v>
      </c>
      <c r="E153" s="575">
        <f t="shared" ca="1" si="6"/>
        <v>0.96452569898972507</v>
      </c>
      <c r="F153" s="574" t="str">
        <f t="shared" ca="1" si="8"/>
        <v>C</v>
      </c>
    </row>
    <row r="154" spans="1:6" ht="30">
      <c r="A154" s="574" t="s">
        <v>774</v>
      </c>
      <c r="B154" s="572" t="s">
        <v>776</v>
      </c>
      <c r="C154" s="573">
        <f>VLOOKUP(A154,'Planilha Orçamentária'!$B$20:$H$430,7,FALSE)</f>
        <v>2265</v>
      </c>
      <c r="D154" s="575">
        <f t="shared" ca="1" si="7"/>
        <v>5.9451210742808363E-4</v>
      </c>
      <c r="E154" s="575">
        <f t="shared" ca="1" si="6"/>
        <v>0.96512021109715318</v>
      </c>
      <c r="F154" s="574" t="str">
        <f t="shared" ca="1" si="8"/>
        <v>C</v>
      </c>
    </row>
    <row r="155" spans="1:6" ht="30">
      <c r="A155" s="574" t="s">
        <v>777</v>
      </c>
      <c r="B155" s="572" t="s">
        <v>778</v>
      </c>
      <c r="C155" s="573">
        <f>VLOOKUP(A155,'Planilha Orçamentária'!$B$20:$H$430,7,FALSE)</f>
        <v>2265</v>
      </c>
      <c r="D155" s="575">
        <f t="shared" ca="1" si="7"/>
        <v>5.9451210742808363E-4</v>
      </c>
      <c r="E155" s="575">
        <f t="shared" ca="1" si="6"/>
        <v>0.96571472320458129</v>
      </c>
      <c r="F155" s="574" t="str">
        <f t="shared" ca="1" si="8"/>
        <v>C</v>
      </c>
    </row>
    <row r="156" spans="1:6" ht="45">
      <c r="A156" s="574" t="s">
        <v>397</v>
      </c>
      <c r="B156" s="572" t="s">
        <v>399</v>
      </c>
      <c r="C156" s="573">
        <f>VLOOKUP(A156,'Planilha Orçamentária'!$B$20:$H$430,7,FALSE)</f>
        <v>2223.92</v>
      </c>
      <c r="D156" s="575">
        <f t="shared" ca="1" si="7"/>
        <v>5.8372952139137469E-4</v>
      </c>
      <c r="E156" s="575">
        <f t="shared" ca="1" si="6"/>
        <v>0.9662984527259727</v>
      </c>
      <c r="F156" s="574" t="str">
        <f t="shared" ca="1" si="8"/>
        <v>C</v>
      </c>
    </row>
    <row r="157" spans="1:6">
      <c r="A157" s="574" t="s">
        <v>738</v>
      </c>
      <c r="B157" s="572" t="s">
        <v>740</v>
      </c>
      <c r="C157" s="573">
        <f>VLOOKUP(A157,'Planilha Orçamentária'!$B$20:$H$430,7,FALSE)</f>
        <v>2223</v>
      </c>
      <c r="D157" s="575">
        <f t="shared" ca="1" si="7"/>
        <v>5.8348804185988075E-4</v>
      </c>
      <c r="E157" s="575">
        <f t="shared" ca="1" si="6"/>
        <v>0.96688194076783263</v>
      </c>
      <c r="F157" s="574" t="str">
        <f t="shared" ca="1" si="8"/>
        <v>C</v>
      </c>
    </row>
    <row r="158" spans="1:6" ht="45">
      <c r="A158" s="574" t="s">
        <v>1097</v>
      </c>
      <c r="B158" s="572" t="s">
        <v>1099</v>
      </c>
      <c r="C158" s="573">
        <f>VLOOKUP(A158,'Planilha Orçamentária'!$B$20:$H$430,7,FALSE)</f>
        <v>2200.14</v>
      </c>
      <c r="D158" s="575">
        <f t="shared" ca="1" si="7"/>
        <v>5.7748780045775879E-4</v>
      </c>
      <c r="E158" s="575">
        <f t="shared" ca="1" si="6"/>
        <v>0.96745942856829037</v>
      </c>
      <c r="F158" s="574" t="str">
        <f t="shared" ca="1" si="8"/>
        <v>C</v>
      </c>
    </row>
    <row r="159" spans="1:6">
      <c r="A159" s="574" t="s">
        <v>1024</v>
      </c>
      <c r="B159" s="572" t="s">
        <v>1026</v>
      </c>
      <c r="C159" s="573">
        <f>VLOOKUP(A159,'Planilha Orçamentária'!$B$20:$H$430,7,FALSE)</f>
        <v>2122.62</v>
      </c>
      <c r="D159" s="575">
        <f t="shared" ca="1" si="7"/>
        <v>5.5714052515187578E-4</v>
      </c>
      <c r="E159" s="575">
        <f t="shared" ca="1" si="6"/>
        <v>0.96801656909344225</v>
      </c>
      <c r="F159" s="574" t="str">
        <f t="shared" ca="1" si="8"/>
        <v>C</v>
      </c>
    </row>
    <row r="160" spans="1:6" ht="30">
      <c r="A160" s="574" t="s">
        <v>61</v>
      </c>
      <c r="B160" s="572" t="s">
        <v>63</v>
      </c>
      <c r="C160" s="573">
        <f>VLOOKUP(A160,'Planilha Orçamentária'!$B$20:$H$430,7,FALSE)</f>
        <v>2119.27</v>
      </c>
      <c r="D160" s="575">
        <f t="shared" ca="1" si="7"/>
        <v>5.562612246839358E-4</v>
      </c>
      <c r="E160" s="575">
        <f t="shared" ca="1" si="6"/>
        <v>0.96857283031812613</v>
      </c>
      <c r="F160" s="574" t="str">
        <f t="shared" ca="1" si="8"/>
        <v>C</v>
      </c>
    </row>
    <row r="161" spans="1:6" ht="30">
      <c r="A161" s="574" t="s">
        <v>561</v>
      </c>
      <c r="B161" s="572" t="s">
        <v>563</v>
      </c>
      <c r="C161" s="573">
        <f>VLOOKUP(A161,'Planilha Orçamentária'!$B$20:$H$430,7,FALSE)</f>
        <v>2092.4</v>
      </c>
      <c r="D161" s="575">
        <f t="shared" ca="1" si="7"/>
        <v>5.492084474978023E-4</v>
      </c>
      <c r="E161" s="575">
        <f t="shared" ca="1" si="6"/>
        <v>0.96912203876562397</v>
      </c>
      <c r="F161" s="574" t="str">
        <f t="shared" ca="1" si="8"/>
        <v>C</v>
      </c>
    </row>
    <row r="162" spans="1:6" ht="45">
      <c r="A162" s="574" t="s">
        <v>337</v>
      </c>
      <c r="B162" s="572" t="s">
        <v>339</v>
      </c>
      <c r="C162" s="573">
        <f>VLOOKUP(A162,'Planilha Orçamentária'!$B$20:$H$430,7,FALSE)</f>
        <v>2058.5344</v>
      </c>
      <c r="D162" s="575">
        <f t="shared" ca="1" si="7"/>
        <v>5.4031948095240869E-4</v>
      </c>
      <c r="E162" s="575">
        <f t="shared" ca="1" si="6"/>
        <v>0.96966235824657643</v>
      </c>
      <c r="F162" s="574" t="str">
        <f t="shared" ca="1" si="8"/>
        <v>C</v>
      </c>
    </row>
    <row r="163" spans="1:6">
      <c r="A163" s="574" t="s">
        <v>1057</v>
      </c>
      <c r="B163" s="572" t="s">
        <v>1059</v>
      </c>
      <c r="C163" s="573">
        <f>VLOOKUP(A163,'Planilha Orçamentária'!$B$20:$H$430,7,FALSE)</f>
        <v>2022.4199999999998</v>
      </c>
      <c r="D163" s="575">
        <f t="shared" ca="1" si="7"/>
        <v>5.3084025443916319E-4</v>
      </c>
      <c r="E163" s="575">
        <f t="shared" ca="1" si="6"/>
        <v>0.9701931985010156</v>
      </c>
      <c r="F163" s="574" t="str">
        <f t="shared" ca="1" si="8"/>
        <v>C</v>
      </c>
    </row>
    <row r="164" spans="1:6">
      <c r="A164" s="574" t="s">
        <v>729</v>
      </c>
      <c r="B164" s="572" t="s">
        <v>731</v>
      </c>
      <c r="C164" s="573">
        <f>VLOOKUP(A164,'Planilha Orçamentária'!$B$20:$H$430,7,FALSE)</f>
        <v>1964.6999999999998</v>
      </c>
      <c r="D164" s="575">
        <f t="shared" ca="1" si="7"/>
        <v>5.1569003861543297E-4</v>
      </c>
      <c r="E164" s="575">
        <f t="shared" ca="1" si="6"/>
        <v>0.970708888539631</v>
      </c>
      <c r="F164" s="574" t="str">
        <f t="shared" ca="1" si="8"/>
        <v>C</v>
      </c>
    </row>
    <row r="165" spans="1:6">
      <c r="A165" s="574" t="s">
        <v>579</v>
      </c>
      <c r="B165" s="572" t="s">
        <v>581</v>
      </c>
      <c r="C165" s="573">
        <f>VLOOKUP(A165,'Planilha Orçamentária'!$B$20:$H$430,7,FALSE)</f>
        <v>1928.55</v>
      </c>
      <c r="D165" s="575">
        <f t="shared" ca="1" si="7"/>
        <v>5.0620146789422983E-4</v>
      </c>
      <c r="E165" s="575">
        <f t="shared" ca="1" si="6"/>
        <v>0.97121509000752526</v>
      </c>
      <c r="F165" s="574" t="str">
        <f t="shared" ref="F165:F196" ca="1" si="9">IF(E165&lt;=$K$4,"A",IF(E165&lt;=$K$5,"B","C"))</f>
        <v>C</v>
      </c>
    </row>
    <row r="166" spans="1:6">
      <c r="A166" s="574" t="s">
        <v>617</v>
      </c>
      <c r="B166" s="572" t="s">
        <v>619</v>
      </c>
      <c r="C166" s="573">
        <f>VLOOKUP(A166,'Planilha Orçamentária'!$B$20:$H$430,7,FALSE)</f>
        <v>1922.3999999999999</v>
      </c>
      <c r="D166" s="575">
        <f t="shared" ca="1" si="7"/>
        <v>5.0458722972174296E-4</v>
      </c>
      <c r="E166" s="575">
        <f t="shared" ca="1" si="6"/>
        <v>0.97171967723724706</v>
      </c>
      <c r="F166" s="574" t="str">
        <f t="shared" ca="1" si="9"/>
        <v>C</v>
      </c>
    </row>
    <row r="167" spans="1:6" ht="45">
      <c r="A167" s="574" t="s">
        <v>645</v>
      </c>
      <c r="B167" s="572" t="s">
        <v>647</v>
      </c>
      <c r="C167" s="573">
        <f>VLOOKUP(A167,'Planilha Orçamentária'!$B$20:$H$430,7,FALSE)</f>
        <v>1877.68</v>
      </c>
      <c r="D167" s="575">
        <f t="shared" ca="1" si="7"/>
        <v>4.9284922466912321E-4</v>
      </c>
      <c r="E167" s="575">
        <f t="shared" ca="1" si="6"/>
        <v>0.97221252646191614</v>
      </c>
      <c r="F167" s="574" t="str">
        <f t="shared" ca="1" si="9"/>
        <v>C</v>
      </c>
    </row>
    <row r="168" spans="1:6" ht="30">
      <c r="A168" s="574" t="s">
        <v>832</v>
      </c>
      <c r="B168" s="572" t="s">
        <v>834</v>
      </c>
      <c r="C168" s="573">
        <f>VLOOKUP(A168,'Planilha Orçamentária'!$B$20:$H$430,7,FALSE)</f>
        <v>1876.3000000000002</v>
      </c>
      <c r="D168" s="575">
        <f t="shared" ca="1" si="7"/>
        <v>4.924870053718823E-4</v>
      </c>
      <c r="E168" s="575">
        <f t="shared" ca="1" si="6"/>
        <v>0.97270501346728799</v>
      </c>
      <c r="F168" s="574" t="str">
        <f t="shared" ca="1" si="9"/>
        <v>C</v>
      </c>
    </row>
    <row r="169" spans="1:6">
      <c r="A169" s="574" t="s">
        <v>408</v>
      </c>
      <c r="B169" s="572" t="s">
        <v>410</v>
      </c>
      <c r="C169" s="573">
        <f>VLOOKUP(A169,'Planilha Orçamentária'!$B$20:$H$430,7,FALSE)</f>
        <v>1777.2</v>
      </c>
      <c r="D169" s="575">
        <f t="shared" ca="1" si="7"/>
        <v>4.6647546018595591E-4</v>
      </c>
      <c r="E169" s="575">
        <f t="shared" ca="1" si="6"/>
        <v>0.97317148892747396</v>
      </c>
      <c r="F169" s="574" t="str">
        <f t="shared" ca="1" si="9"/>
        <v>C</v>
      </c>
    </row>
    <row r="170" spans="1:6" ht="30">
      <c r="A170" s="574" t="s">
        <v>564</v>
      </c>
      <c r="B170" s="572" t="s">
        <v>566</v>
      </c>
      <c r="C170" s="573">
        <f>VLOOKUP(A170,'Planilha Orçamentária'!$B$20:$H$430,7,FALSE)</f>
        <v>1769.84</v>
      </c>
      <c r="D170" s="575">
        <f t="shared" ca="1" si="7"/>
        <v>4.6454362393400417E-4</v>
      </c>
      <c r="E170" s="575">
        <f t="shared" ca="1" si="6"/>
        <v>0.97363603255140796</v>
      </c>
      <c r="F170" s="574" t="str">
        <f t="shared" ca="1" si="9"/>
        <v>C</v>
      </c>
    </row>
    <row r="171" spans="1:6" ht="30">
      <c r="A171" s="574" t="s">
        <v>688</v>
      </c>
      <c r="B171" s="572" t="s">
        <v>690</v>
      </c>
      <c r="C171" s="573">
        <f>VLOOKUP(A171,'Planilha Orçamentária'!$B$20:$H$430,7,FALSE)</f>
        <v>1762.67</v>
      </c>
      <c r="D171" s="575">
        <f t="shared" ca="1" si="7"/>
        <v>4.6266165845486101E-4</v>
      </c>
      <c r="E171" s="575">
        <f t="shared" ca="1" si="6"/>
        <v>0.97409869420986284</v>
      </c>
      <c r="F171" s="574" t="str">
        <f t="shared" ca="1" si="9"/>
        <v>C</v>
      </c>
    </row>
    <row r="172" spans="1:6">
      <c r="A172" s="574" t="s">
        <v>488</v>
      </c>
      <c r="B172" s="572" t="s">
        <v>490</v>
      </c>
      <c r="C172" s="573">
        <f>VLOOKUP(A172,'Planilha Orçamentária'!$B$20:$H$430,7,FALSE)</f>
        <v>1755.53</v>
      </c>
      <c r="D172" s="575">
        <f t="shared" ca="1" si="7"/>
        <v>4.6078756730826649E-4</v>
      </c>
      <c r="E172" s="575">
        <f t="shared" ca="1" si="6"/>
        <v>0.97455948177717111</v>
      </c>
      <c r="F172" s="574" t="str">
        <f t="shared" ca="1" si="9"/>
        <v>C</v>
      </c>
    </row>
    <row r="173" spans="1:6">
      <c r="A173" s="574" t="s">
        <v>1103</v>
      </c>
      <c r="B173" s="572" t="s">
        <v>1105</v>
      </c>
      <c r="C173" s="573">
        <f>VLOOKUP(A173,'Planilha Orçamentária'!$B$20:$H$430,7,FALSE)</f>
        <v>1711.8810000000001</v>
      </c>
      <c r="D173" s="575">
        <f t="shared" ca="1" si="7"/>
        <v>4.4933067592763587E-4</v>
      </c>
      <c r="E173" s="575">
        <f t="shared" ca="1" si="6"/>
        <v>0.97500881245309878</v>
      </c>
      <c r="F173" s="574" t="str">
        <f t="shared" ca="1" si="9"/>
        <v>C</v>
      </c>
    </row>
    <row r="174" spans="1:6" ht="30">
      <c r="A174" s="574" t="s">
        <v>1075</v>
      </c>
      <c r="B174" s="572" t="s">
        <v>1077</v>
      </c>
      <c r="C174" s="573">
        <f>VLOOKUP(A174,'Planilha Orçamentária'!$B$20:$H$430,7,FALSE)</f>
        <v>1701.33</v>
      </c>
      <c r="D174" s="575">
        <f t="shared" ca="1" si="7"/>
        <v>4.4656127317025226E-4</v>
      </c>
      <c r="E174" s="575">
        <f t="shared" ca="1" si="6"/>
        <v>0.975455373726269</v>
      </c>
      <c r="F174" s="574" t="str">
        <f t="shared" ca="1" si="9"/>
        <v>C</v>
      </c>
    </row>
    <row r="175" spans="1:6" ht="30">
      <c r="A175" s="574" t="s">
        <v>549</v>
      </c>
      <c r="B175" s="572" t="s">
        <v>551</v>
      </c>
      <c r="C175" s="573">
        <f>VLOOKUP(A175,'Planilha Orçamentária'!$B$20:$H$430,7,FALSE)</f>
        <v>1693.68</v>
      </c>
      <c r="D175" s="575">
        <f t="shared" ca="1" si="7"/>
        <v>4.4455331837032965E-4</v>
      </c>
      <c r="E175" s="575">
        <f t="shared" ca="1" si="6"/>
        <v>0.97589992704463935</v>
      </c>
      <c r="F175" s="574" t="str">
        <f t="shared" ca="1" si="9"/>
        <v>C</v>
      </c>
    </row>
    <row r="176" spans="1:6" ht="30">
      <c r="A176" s="574" t="s">
        <v>582</v>
      </c>
      <c r="B176" s="572" t="s">
        <v>584</v>
      </c>
      <c r="C176" s="573">
        <f>VLOOKUP(A176,'Planilha Orçamentária'!$B$20:$H$430,7,FALSE)</f>
        <v>1624.3200000000002</v>
      </c>
      <c r="D176" s="575">
        <f t="shared" ca="1" si="7"/>
        <v>4.263478615176975E-4</v>
      </c>
      <c r="E176" s="575">
        <f t="shared" ca="1" si="6"/>
        <v>0.97632627490615709</v>
      </c>
      <c r="F176" s="574" t="str">
        <f t="shared" ca="1" si="9"/>
        <v>C</v>
      </c>
    </row>
    <row r="177" spans="1:6">
      <c r="A177" s="574" t="s">
        <v>984</v>
      </c>
      <c r="B177" s="572" t="s">
        <v>986</v>
      </c>
      <c r="C177" s="573">
        <f>VLOOKUP(A177,'Planilha Orçamentária'!$B$20:$H$430,7,FALSE)</f>
        <v>1595.07</v>
      </c>
      <c r="D177" s="575">
        <f t="shared" ca="1" si="7"/>
        <v>4.1867038728269902E-4</v>
      </c>
      <c r="E177" s="575">
        <f t="shared" ca="1" si="6"/>
        <v>0.9767449452934398</v>
      </c>
      <c r="F177" s="574" t="str">
        <f t="shared" ca="1" si="9"/>
        <v>C</v>
      </c>
    </row>
    <row r="178" spans="1:6">
      <c r="A178" s="574" t="s">
        <v>402</v>
      </c>
      <c r="B178" s="572" t="s">
        <v>404</v>
      </c>
      <c r="C178" s="573">
        <f>VLOOKUP(A178,'Planilha Orçamentária'!$B$20:$H$430,7,FALSE)</f>
        <v>1576</v>
      </c>
      <c r="D178" s="575">
        <f t="shared" ca="1" si="7"/>
        <v>4.1366493655923165E-4</v>
      </c>
      <c r="E178" s="575">
        <f t="shared" ca="1" si="6"/>
        <v>0.97715861022999906</v>
      </c>
      <c r="F178" s="574" t="str">
        <f t="shared" ca="1" si="9"/>
        <v>C</v>
      </c>
    </row>
    <row r="179" spans="1:6" ht="30">
      <c r="A179" s="574" t="s">
        <v>1063</v>
      </c>
      <c r="B179" s="572" t="s">
        <v>1065</v>
      </c>
      <c r="C179" s="573">
        <f>VLOOKUP(A179,'Planilha Orçamentária'!$B$20:$H$430,7,FALSE)</f>
        <v>1540.28</v>
      </c>
      <c r="D179" s="575">
        <f t="shared" ca="1" si="7"/>
        <v>4.0428923127122673E-4</v>
      </c>
      <c r="E179" s="575">
        <f t="shared" ca="1" si="6"/>
        <v>0.97756289946127028</v>
      </c>
      <c r="F179" s="574" t="str">
        <f t="shared" ca="1" si="9"/>
        <v>C</v>
      </c>
    </row>
    <row r="180" spans="1:6">
      <c r="A180" s="574" t="s">
        <v>658</v>
      </c>
      <c r="B180" s="572" t="s">
        <v>660</v>
      </c>
      <c r="C180" s="573">
        <f>VLOOKUP(A180,'Planilha Orçamentária'!$B$20:$H$430,7,FALSE)</f>
        <v>1538.1</v>
      </c>
      <c r="D180" s="575">
        <f t="shared" ca="1" si="7"/>
        <v>4.0371702977268665E-4</v>
      </c>
      <c r="E180" s="575">
        <f t="shared" ca="1" si="6"/>
        <v>0.97796661649104299</v>
      </c>
      <c r="F180" s="574" t="str">
        <f t="shared" ca="1" si="9"/>
        <v>C</v>
      </c>
    </row>
    <row r="181" spans="1:6" ht="30">
      <c r="A181" s="574" t="s">
        <v>567</v>
      </c>
      <c r="B181" s="572" t="s">
        <v>569</v>
      </c>
      <c r="C181" s="573">
        <f>VLOOKUP(A181,'Planilha Orçamentária'!$B$20:$H$430,7,FALSE)</f>
        <v>1516.65</v>
      </c>
      <c r="D181" s="575">
        <f t="shared" ca="1" si="7"/>
        <v>3.9808688200035456E-4</v>
      </c>
      <c r="E181" s="575">
        <f t="shared" ca="1" si="6"/>
        <v>0.97836470337304338</v>
      </c>
      <c r="F181" s="574" t="str">
        <f t="shared" ca="1" si="9"/>
        <v>C</v>
      </c>
    </row>
    <row r="182" spans="1:6" ht="30">
      <c r="A182" s="574" t="s">
        <v>909</v>
      </c>
      <c r="B182" s="572" t="s">
        <v>911</v>
      </c>
      <c r="C182" s="573">
        <f>VLOOKUP(A182,'Planilha Orçamentária'!$B$20:$H$430,7,FALSE)</f>
        <v>1515.36</v>
      </c>
      <c r="D182" s="575">
        <f t="shared" ref="D182:D231" ca="1" si="10">C182/$C$335</f>
        <v>3.9774828570075967E-4</v>
      </c>
      <c r="E182" s="575">
        <f t="shared" ca="1" si="6"/>
        <v>0.97876245165874409</v>
      </c>
      <c r="F182" s="574" t="str">
        <f t="shared" ref="F182:F231" ca="1" si="11">IF(E182&lt;=$K$4,"A",IF(E182&lt;=$K$5,"B","C"))</f>
        <v>C</v>
      </c>
    </row>
    <row r="183" spans="1:6" ht="30">
      <c r="A183" s="574" t="s">
        <v>1094</v>
      </c>
      <c r="B183" s="572" t="s">
        <v>1096</v>
      </c>
      <c r="C183" s="573">
        <f>VLOOKUP(A183,'Planilha Orçamentária'!$B$20:$H$430,7,FALSE)</f>
        <v>1512.72</v>
      </c>
      <c r="D183" s="575">
        <f t="shared" ca="1" si="10"/>
        <v>3.9705534443647267E-4</v>
      </c>
      <c r="E183" s="575">
        <f t="shared" ca="1" si="6"/>
        <v>0.97915950700318055</v>
      </c>
      <c r="F183" s="574" t="str">
        <f t="shared" ca="1" si="11"/>
        <v>C</v>
      </c>
    </row>
    <row r="184" spans="1:6">
      <c r="A184" s="574" t="s">
        <v>957</v>
      </c>
      <c r="B184" s="572" t="s">
        <v>959</v>
      </c>
      <c r="C184" s="573">
        <f>VLOOKUP(A184,'Planilha Orçamentária'!$B$20:$H$430,7,FALSE)</f>
        <v>1501.5</v>
      </c>
      <c r="D184" s="575">
        <f t="shared" ca="1" si="10"/>
        <v>3.9411034406325275E-4</v>
      </c>
      <c r="E184" s="575">
        <f t="shared" ref="E184:E247" ca="1" si="12">D184+E183</f>
        <v>0.97955361734724378</v>
      </c>
      <c r="F184" s="574" t="str">
        <f t="shared" ca="1" si="11"/>
        <v>C</v>
      </c>
    </row>
    <row r="185" spans="1:6" ht="30">
      <c r="A185" s="574" t="s">
        <v>991</v>
      </c>
      <c r="B185" s="572" t="s">
        <v>993</v>
      </c>
      <c r="C185" s="573">
        <f>VLOOKUP(A185,'Planilha Orçamentária'!$B$20:$H$430,7,FALSE)</f>
        <v>1457.61</v>
      </c>
      <c r="D185" s="575">
        <f t="shared" ca="1" si="10"/>
        <v>3.8259019554448071E-4</v>
      </c>
      <c r="E185" s="575">
        <f t="shared" ca="1" si="12"/>
        <v>0.97993620754278821</v>
      </c>
      <c r="F185" s="574" t="str">
        <f t="shared" ca="1" si="11"/>
        <v>C</v>
      </c>
    </row>
    <row r="186" spans="1:6" ht="30">
      <c r="A186" s="574" t="s">
        <v>707</v>
      </c>
      <c r="B186" s="572" t="s">
        <v>709</v>
      </c>
      <c r="C186" s="573">
        <f>VLOOKUP(A186,'Planilha Orçamentária'!$B$20:$H$430,7,FALSE)</f>
        <v>1453.47</v>
      </c>
      <c r="D186" s="575">
        <f t="shared" ca="1" si="10"/>
        <v>3.8150353765275792E-4</v>
      </c>
      <c r="E186" s="575">
        <f t="shared" ca="1" si="12"/>
        <v>0.98031771108044097</v>
      </c>
      <c r="F186" s="574" t="str">
        <f t="shared" ca="1" si="11"/>
        <v>C</v>
      </c>
    </row>
    <row r="187" spans="1:6" ht="30">
      <c r="A187" s="574" t="s">
        <v>318</v>
      </c>
      <c r="B187" s="572" t="s">
        <v>320</v>
      </c>
      <c r="C187" s="573">
        <f ca="1">VLOOKUP(A187,'Planilha Orçamentária'!$B$20:$H$430,7,FALSE)</f>
        <v>1367.778</v>
      </c>
      <c r="D187" s="575">
        <f t="shared" ca="1" si="10"/>
        <v>3.5901129416060458E-4</v>
      </c>
      <c r="E187" s="575">
        <f t="shared" ca="1" si="12"/>
        <v>0.98067672237460157</v>
      </c>
      <c r="F187" s="574" t="str">
        <f t="shared" ca="1" si="11"/>
        <v>C</v>
      </c>
    </row>
    <row r="188" spans="1:6" ht="30">
      <c r="A188" s="574" t="s">
        <v>999</v>
      </c>
      <c r="B188" s="572" t="s">
        <v>1001</v>
      </c>
      <c r="C188" s="573">
        <f>VLOOKUP(A188,'Planilha Orçamentária'!$B$20:$H$430,7,FALSE)</f>
        <v>1354.88</v>
      </c>
      <c r="D188" s="575">
        <f t="shared" ca="1" si="10"/>
        <v>3.5562585612015977E-4</v>
      </c>
      <c r="E188" s="575">
        <f t="shared" ca="1" si="12"/>
        <v>0.98103234823072172</v>
      </c>
      <c r="F188" s="574" t="str">
        <f t="shared" ca="1" si="11"/>
        <v>C</v>
      </c>
    </row>
    <row r="189" spans="1:6" ht="45">
      <c r="A189" s="574" t="s">
        <v>854</v>
      </c>
      <c r="B189" s="572" t="s">
        <v>856</v>
      </c>
      <c r="C189" s="573">
        <f>VLOOKUP(A189,'Planilha Orçamentária'!$B$20:$H$430,7,FALSE)</f>
        <v>1341.42</v>
      </c>
      <c r="D189" s="575">
        <f t="shared" ca="1" si="10"/>
        <v>3.5209290558330239E-4</v>
      </c>
      <c r="E189" s="575">
        <f t="shared" ca="1" si="12"/>
        <v>0.98138444113630507</v>
      </c>
      <c r="F189" s="574" t="str">
        <f t="shared" ca="1" si="11"/>
        <v>C</v>
      </c>
    </row>
    <row r="190" spans="1:6" ht="30">
      <c r="A190" s="574" t="s">
        <v>585</v>
      </c>
      <c r="B190" s="572" t="s">
        <v>587</v>
      </c>
      <c r="C190" s="573">
        <f>VLOOKUP(A190,'Planilha Orçamentária'!$B$20:$H$430,7,FALSE)</f>
        <v>1300.8800000000001</v>
      </c>
      <c r="D190" s="575">
        <f t="shared" ca="1" si="10"/>
        <v>3.4145205753247039E-4</v>
      </c>
      <c r="E190" s="575">
        <f t="shared" ca="1" si="12"/>
        <v>0.98172589319383752</v>
      </c>
      <c r="F190" s="574" t="str">
        <f t="shared" ca="1" si="11"/>
        <v>C</v>
      </c>
    </row>
    <row r="191" spans="1:6">
      <c r="A191" s="574" t="s">
        <v>933</v>
      </c>
      <c r="B191" s="572" t="s">
        <v>935</v>
      </c>
      <c r="C191" s="573">
        <f>VLOOKUP(A191,'Planilha Orçamentária'!$B$20:$H$430,7,FALSE)</f>
        <v>1299.3000000000002</v>
      </c>
      <c r="D191" s="575">
        <f t="shared" ca="1" si="10"/>
        <v>3.4103734268490468E-4</v>
      </c>
      <c r="E191" s="575">
        <f t="shared" ca="1" si="12"/>
        <v>0.98206693053652239</v>
      </c>
      <c r="F191" s="574" t="str">
        <f t="shared" ca="1" si="11"/>
        <v>C</v>
      </c>
    </row>
    <row r="192" spans="1:6">
      <c r="A192" s="574" t="s">
        <v>841</v>
      </c>
      <c r="B192" s="572" t="s">
        <v>822</v>
      </c>
      <c r="C192" s="573">
        <f>VLOOKUP(A192,'Planilha Orçamentária'!$B$20:$H$430,7,FALSE)</f>
        <v>1292.3399999999999</v>
      </c>
      <c r="D192" s="575">
        <f t="shared" ca="1" si="10"/>
        <v>3.3921049753360242E-4</v>
      </c>
      <c r="E192" s="575">
        <f t="shared" ca="1" si="12"/>
        <v>0.98240614103405599</v>
      </c>
      <c r="F192" s="574" t="str">
        <f t="shared" ca="1" si="11"/>
        <v>C</v>
      </c>
    </row>
    <row r="193" spans="1:6" ht="30">
      <c r="A193" s="574" t="s">
        <v>606</v>
      </c>
      <c r="B193" s="572" t="s">
        <v>608</v>
      </c>
      <c r="C193" s="573">
        <f>VLOOKUP(A193,'Planilha Orçamentária'!$B$20:$H$430,7,FALSE)</f>
        <v>1280.8499999999999</v>
      </c>
      <c r="D193" s="575">
        <f t="shared" ca="1" si="10"/>
        <v>3.3619462816744406E-4</v>
      </c>
      <c r="E193" s="575">
        <f t="shared" ca="1" si="12"/>
        <v>0.98274233566222347</v>
      </c>
      <c r="F193" s="574" t="str">
        <f t="shared" ca="1" si="11"/>
        <v>C</v>
      </c>
    </row>
    <row r="194" spans="1:6" ht="45">
      <c r="A194" s="574" t="s">
        <v>394</v>
      </c>
      <c r="B194" s="572" t="s">
        <v>396</v>
      </c>
      <c r="C194" s="573">
        <f>VLOOKUP(A194,'Planilha Orçamentária'!$B$20:$H$430,7,FALSE)</f>
        <v>1145.18</v>
      </c>
      <c r="D194" s="575">
        <f t="shared" ca="1" si="10"/>
        <v>3.0058427160463256E-4</v>
      </c>
      <c r="E194" s="575">
        <f t="shared" ca="1" si="12"/>
        <v>0.98304291993382809</v>
      </c>
      <c r="F194" s="574" t="str">
        <f t="shared" ca="1" si="11"/>
        <v>C</v>
      </c>
    </row>
    <row r="195" spans="1:6" ht="30">
      <c r="A195" s="574" t="s">
        <v>558</v>
      </c>
      <c r="B195" s="572" t="s">
        <v>560</v>
      </c>
      <c r="C195" s="573">
        <f>VLOOKUP(A195,'Planilha Orçamentária'!$B$20:$H$430,7,FALSE)</f>
        <v>1117.4000000000001</v>
      </c>
      <c r="D195" s="575">
        <f t="shared" ca="1" si="10"/>
        <v>2.9329263966452123E-4</v>
      </c>
      <c r="E195" s="575">
        <f t="shared" ca="1" si="12"/>
        <v>0.98333621257349257</v>
      </c>
      <c r="F195" s="574" t="str">
        <f t="shared" ca="1" si="11"/>
        <v>C</v>
      </c>
    </row>
    <row r="196" spans="1:6" ht="30">
      <c r="A196" s="574" t="s">
        <v>685</v>
      </c>
      <c r="B196" s="572" t="s">
        <v>687</v>
      </c>
      <c r="C196" s="573">
        <f>VLOOKUP(A196,'Planilha Orçamentária'!$B$20:$H$430,7,FALSE)</f>
        <v>1113.8399999999999</v>
      </c>
      <c r="D196" s="575">
        <f t="shared" ca="1" si="10"/>
        <v>2.9235821886874018E-4</v>
      </c>
      <c r="E196" s="575">
        <f t="shared" ca="1" si="12"/>
        <v>0.98362857079236132</v>
      </c>
      <c r="F196" s="574" t="str">
        <f t="shared" ca="1" si="11"/>
        <v>C</v>
      </c>
    </row>
    <row r="197" spans="1:6" ht="30">
      <c r="A197" s="574" t="s">
        <v>648</v>
      </c>
      <c r="B197" s="572" t="s">
        <v>650</v>
      </c>
      <c r="C197" s="573">
        <f>VLOOKUP(A197,'Planilha Orçamentária'!$B$20:$H$430,7,FALSE)</f>
        <v>1109.25</v>
      </c>
      <c r="D197" s="575">
        <f t="shared" ca="1" si="10"/>
        <v>2.9115344598878664E-4</v>
      </c>
      <c r="E197" s="575">
        <f t="shared" ca="1" si="12"/>
        <v>0.98391972423835006</v>
      </c>
      <c r="F197" s="574" t="str">
        <f t="shared" ca="1" si="11"/>
        <v>C</v>
      </c>
    </row>
    <row r="198" spans="1:6">
      <c r="A198" s="574" t="s">
        <v>526</v>
      </c>
      <c r="B198" s="572" t="s">
        <v>528</v>
      </c>
      <c r="C198" s="573">
        <f>VLOOKUP(A198,'Planilha Orçamentária'!$B$20:$H$430,7,FALSE)</f>
        <v>1089.4000000000001</v>
      </c>
      <c r="D198" s="575">
        <f t="shared" ca="1" si="10"/>
        <v>2.8594326261905268E-4</v>
      </c>
      <c r="E198" s="575">
        <f t="shared" ca="1" si="12"/>
        <v>0.98420566750096916</v>
      </c>
      <c r="F198" s="574" t="str">
        <f t="shared" ca="1" si="11"/>
        <v>C</v>
      </c>
    </row>
    <row r="199" spans="1:6">
      <c r="A199" s="574" t="s">
        <v>820</v>
      </c>
      <c r="B199" s="572" t="s">
        <v>822</v>
      </c>
      <c r="C199" s="573">
        <f>VLOOKUP(A199,'Planilha Orçamentária'!$B$20:$H$430,7,FALSE)</f>
        <v>1076.95</v>
      </c>
      <c r="D199" s="575">
        <f t="shared" ca="1" si="10"/>
        <v>2.8267541461133536E-4</v>
      </c>
      <c r="E199" s="575">
        <f t="shared" ca="1" si="12"/>
        <v>0.98448834291558052</v>
      </c>
      <c r="F199" s="574" t="str">
        <f t="shared" ca="1" si="11"/>
        <v>C</v>
      </c>
    </row>
    <row r="200" spans="1:6">
      <c r="A200" s="574" t="s">
        <v>431</v>
      </c>
      <c r="B200" s="572" t="s">
        <v>433</v>
      </c>
      <c r="C200" s="573">
        <f>VLOOKUP(A200,'Planilha Orçamentária'!$B$20:$H$430,7,FALSE)</f>
        <v>1059.3</v>
      </c>
      <c r="D200" s="575">
        <f t="shared" ca="1" si="10"/>
        <v>2.7804268229517391E-4</v>
      </c>
      <c r="E200" s="575">
        <f t="shared" ca="1" si="12"/>
        <v>0.98476638559787566</v>
      </c>
      <c r="F200" s="574" t="str">
        <f t="shared" ca="1" si="11"/>
        <v>C</v>
      </c>
    </row>
    <row r="201" spans="1:6">
      <c r="A201" s="574" t="s">
        <v>670</v>
      </c>
      <c r="B201" s="572" t="s">
        <v>672</v>
      </c>
      <c r="C201" s="573">
        <f>VLOOKUP(A201,'Planilha Orçamentária'!$B$20:$H$430,7,FALSE)</f>
        <v>1016.6</v>
      </c>
      <c r="D201" s="575">
        <f t="shared" ca="1" si="10"/>
        <v>2.6683488230083436E-4</v>
      </c>
      <c r="E201" s="575">
        <f t="shared" ca="1" si="12"/>
        <v>0.9850332204801765</v>
      </c>
      <c r="F201" s="574" t="str">
        <f t="shared" ca="1" si="11"/>
        <v>C</v>
      </c>
    </row>
    <row r="202" spans="1:6">
      <c r="A202" s="574" t="s">
        <v>600</v>
      </c>
      <c r="B202" s="572" t="s">
        <v>602</v>
      </c>
      <c r="C202" s="573">
        <f>VLOOKUP(A202,'Planilha Orçamentária'!$B$20:$H$430,7,FALSE)</f>
        <v>1011.2</v>
      </c>
      <c r="D202" s="575">
        <f t="shared" ca="1" si="10"/>
        <v>2.6541750244206538E-4</v>
      </c>
      <c r="E202" s="575">
        <f t="shared" ca="1" si="12"/>
        <v>0.98529863798261852</v>
      </c>
      <c r="F202" s="574" t="str">
        <f t="shared" ca="1" si="11"/>
        <v>C</v>
      </c>
    </row>
    <row r="203" spans="1:6" ht="30">
      <c r="A203" s="574" t="s">
        <v>764</v>
      </c>
      <c r="B203" s="572" t="s">
        <v>766</v>
      </c>
      <c r="C203" s="573">
        <f>VLOOKUP(A203,'Planilha Orçamentária'!$B$20:$H$430,7,FALSE)</f>
        <v>1008</v>
      </c>
      <c r="D203" s="575">
        <f t="shared" ca="1" si="10"/>
        <v>2.6457757363686896E-4</v>
      </c>
      <c r="E203" s="575">
        <f t="shared" ca="1" si="12"/>
        <v>0.98556321555625537</v>
      </c>
      <c r="F203" s="574" t="str">
        <f t="shared" ca="1" si="11"/>
        <v>C</v>
      </c>
    </row>
    <row r="204" spans="1:6" ht="30">
      <c r="A204" s="574" t="s">
        <v>767</v>
      </c>
      <c r="B204" s="572" t="s">
        <v>768</v>
      </c>
      <c r="C204" s="573">
        <f>VLOOKUP(A204,'Planilha Orçamentária'!$B$20:$H$430,7,FALSE)</f>
        <v>1008</v>
      </c>
      <c r="D204" s="575">
        <f t="shared" ca="1" si="10"/>
        <v>2.6457757363686896E-4</v>
      </c>
      <c r="E204" s="575">
        <f t="shared" ca="1" si="12"/>
        <v>0.98582779312989222</v>
      </c>
      <c r="F204" s="574" t="str">
        <f t="shared" ca="1" si="11"/>
        <v>C</v>
      </c>
    </row>
    <row r="205" spans="1:6">
      <c r="A205" s="574" t="s">
        <v>890</v>
      </c>
      <c r="B205" s="572" t="s">
        <v>892</v>
      </c>
      <c r="C205" s="573">
        <f>VLOOKUP(A205,'Planilha Orçamentária'!$B$20:$H$430,7,FALSE)</f>
        <v>963.03</v>
      </c>
      <c r="D205" s="575">
        <f t="shared" ca="1" si="10"/>
        <v>2.527739491463432E-4</v>
      </c>
      <c r="E205" s="575">
        <f t="shared" ca="1" si="12"/>
        <v>0.98608056707903857</v>
      </c>
      <c r="F205" s="574" t="str">
        <f t="shared" ca="1" si="11"/>
        <v>C</v>
      </c>
    </row>
    <row r="206" spans="1:6" ht="30">
      <c r="A206" s="574" t="s">
        <v>497</v>
      </c>
      <c r="B206" s="572" t="s">
        <v>499</v>
      </c>
      <c r="C206" s="573">
        <f>VLOOKUP(A206,'Planilha Orçamentária'!$B$20:$H$430,7,FALSE)</f>
        <v>954.30000000000007</v>
      </c>
      <c r="D206" s="575">
        <f t="shared" ca="1" si="10"/>
        <v>2.5048251837466676E-4</v>
      </c>
      <c r="E206" s="575">
        <f t="shared" ca="1" si="12"/>
        <v>0.98633104959741325</v>
      </c>
      <c r="F206" s="574" t="str">
        <f t="shared" ca="1" si="11"/>
        <v>C</v>
      </c>
    </row>
    <row r="207" spans="1:6">
      <c r="A207" s="574" t="s">
        <v>529</v>
      </c>
      <c r="B207" s="572" t="s">
        <v>531</v>
      </c>
      <c r="C207" s="573">
        <f>VLOOKUP(A207,'Planilha Orçamentária'!$B$20:$H$430,7,FALSE)</f>
        <v>950.4</v>
      </c>
      <c r="D207" s="575">
        <f t="shared" ca="1" si="10"/>
        <v>2.4945885514333362E-4</v>
      </c>
      <c r="E207" s="575">
        <f t="shared" ca="1" si="12"/>
        <v>0.98658050845255663</v>
      </c>
      <c r="F207" s="574" t="str">
        <f t="shared" ca="1" si="11"/>
        <v>C</v>
      </c>
    </row>
    <row r="208" spans="1:6" ht="45">
      <c r="A208" s="574" t="s">
        <v>1027</v>
      </c>
      <c r="B208" s="572" t="s">
        <v>1029</v>
      </c>
      <c r="C208" s="573">
        <f>VLOOKUP(A208,'Planilha Orçamentária'!$B$20:$H$430,7,FALSE)</f>
        <v>885.19</v>
      </c>
      <c r="D208" s="575">
        <f t="shared" ca="1" si="10"/>
        <v>2.3234268095994055E-4</v>
      </c>
      <c r="E208" s="575">
        <f t="shared" ca="1" si="12"/>
        <v>0.98681285113351658</v>
      </c>
      <c r="F208" s="574" t="str">
        <f t="shared" ca="1" si="11"/>
        <v>C</v>
      </c>
    </row>
    <row r="209" spans="1:6" ht="30">
      <c r="A209" s="574" t="s">
        <v>863</v>
      </c>
      <c r="B209" s="572" t="s">
        <v>865</v>
      </c>
      <c r="C209" s="573">
        <f>VLOOKUP(A209,'Planilha Orçamentária'!$B$20:$H$430,7,FALSE)</f>
        <v>873.82</v>
      </c>
      <c r="D209" s="575">
        <f t="shared" ca="1" si="10"/>
        <v>2.2935830892397707E-4</v>
      </c>
      <c r="E209" s="575">
        <f t="shared" ca="1" si="12"/>
        <v>0.98704220944244059</v>
      </c>
      <c r="F209" s="574" t="str">
        <f t="shared" ca="1" si="11"/>
        <v>C</v>
      </c>
    </row>
    <row r="210" spans="1:6" ht="30">
      <c r="A210" s="574" t="s">
        <v>794</v>
      </c>
      <c r="B210" s="572" t="s">
        <v>796</v>
      </c>
      <c r="C210" s="573">
        <f>VLOOKUP(A210,'Planilha Orçamentária'!$B$20:$H$430,7,FALSE)</f>
        <v>873.54</v>
      </c>
      <c r="D210" s="575">
        <f t="shared" ca="1" si="10"/>
        <v>2.2928481515352236E-4</v>
      </c>
      <c r="E210" s="575">
        <f t="shared" ca="1" si="12"/>
        <v>0.98727149425759408</v>
      </c>
      <c r="F210" s="574" t="str">
        <f t="shared" ca="1" si="11"/>
        <v>C</v>
      </c>
    </row>
    <row r="211" spans="1:6">
      <c r="A211" s="574" t="s">
        <v>939</v>
      </c>
      <c r="B211" s="572" t="s">
        <v>941</v>
      </c>
      <c r="C211" s="573">
        <f>VLOOKUP(A211,'Planilha Orçamentária'!$B$20:$H$430,7,FALSE)</f>
        <v>866.56</v>
      </c>
      <c r="D211" s="575">
        <f t="shared" ca="1" si="10"/>
        <v>2.2745272044718767E-4</v>
      </c>
      <c r="E211" s="575">
        <f t="shared" ca="1" si="12"/>
        <v>0.9874989469780413</v>
      </c>
      <c r="F211" s="574" t="str">
        <f t="shared" ca="1" si="11"/>
        <v>C</v>
      </c>
    </row>
    <row r="212" spans="1:6" ht="30">
      <c r="A212" s="574" t="s">
        <v>906</v>
      </c>
      <c r="B212" s="572" t="s">
        <v>908</v>
      </c>
      <c r="C212" s="573">
        <f>VLOOKUP(A212,'Planilha Orçamentária'!$B$20:$H$430,7,FALSE)</f>
        <v>853.74</v>
      </c>
      <c r="D212" s="575">
        <f t="shared" ca="1" si="10"/>
        <v>2.2408775567136957E-4</v>
      </c>
      <c r="E212" s="575">
        <f t="shared" ca="1" si="12"/>
        <v>0.9877230347337127</v>
      </c>
      <c r="F212" s="574" t="str">
        <f t="shared" ca="1" si="11"/>
        <v>C</v>
      </c>
    </row>
    <row r="213" spans="1:6">
      <c r="A213" s="574" t="s">
        <v>701</v>
      </c>
      <c r="B213" s="572" t="s">
        <v>703</v>
      </c>
      <c r="C213" s="573">
        <f>VLOOKUP(A213,'Planilha Orçamentária'!$B$20:$H$430,7,FALSE)</f>
        <v>849.5</v>
      </c>
      <c r="D213" s="575">
        <f t="shared" ca="1" si="10"/>
        <v>2.2297485000448433E-4</v>
      </c>
      <c r="E213" s="575">
        <f t="shared" ca="1" si="12"/>
        <v>0.98794600958371714</v>
      </c>
      <c r="F213" s="574" t="str">
        <f t="shared" ca="1" si="11"/>
        <v>C</v>
      </c>
    </row>
    <row r="214" spans="1:6" ht="30">
      <c r="A214" s="574" t="s">
        <v>1015</v>
      </c>
      <c r="B214" s="572" t="s">
        <v>1017</v>
      </c>
      <c r="C214" s="573">
        <f>VLOOKUP(A214,'Planilha Orçamentária'!$B$20:$H$430,7,FALSE)</f>
        <v>841.75</v>
      </c>
      <c r="D214" s="575">
        <f t="shared" ca="1" si="10"/>
        <v>2.2094064742939927E-4</v>
      </c>
      <c r="E214" s="575">
        <f t="shared" ca="1" si="12"/>
        <v>0.98816695023114653</v>
      </c>
      <c r="F214" s="574" t="str">
        <f t="shared" ca="1" si="11"/>
        <v>C</v>
      </c>
    </row>
    <row r="215" spans="1:6">
      <c r="A215" s="574" t="s">
        <v>989</v>
      </c>
      <c r="B215" s="572" t="s">
        <v>962</v>
      </c>
      <c r="C215" s="573">
        <f>VLOOKUP(A215,'Planilha Orçamentária'!$B$20:$H$430,7,FALSE)</f>
        <v>792.32</v>
      </c>
      <c r="D215" s="575">
        <f t="shared" ca="1" si="10"/>
        <v>2.07966372166631E-4</v>
      </c>
      <c r="E215" s="575">
        <f t="shared" ca="1" si="12"/>
        <v>0.98837491660331311</v>
      </c>
      <c r="F215" s="574" t="str">
        <f t="shared" ca="1" si="11"/>
        <v>C</v>
      </c>
    </row>
    <row r="216" spans="1:6">
      <c r="A216" s="574" t="s">
        <v>676</v>
      </c>
      <c r="B216" s="572" t="s">
        <v>678</v>
      </c>
      <c r="C216" s="573">
        <f>VLOOKUP(A216,'Planilha Orçamentária'!$B$20:$H$430,7,FALSE)</f>
        <v>789.08</v>
      </c>
      <c r="D216" s="575">
        <f t="shared" ca="1" si="10"/>
        <v>2.0711594425136962E-4</v>
      </c>
      <c r="E216" s="575">
        <f t="shared" ca="1" si="12"/>
        <v>0.98858203254756449</v>
      </c>
      <c r="F216" s="574" t="str">
        <f t="shared" ca="1" si="11"/>
        <v>C</v>
      </c>
    </row>
    <row r="217" spans="1:6" ht="45">
      <c r="A217" s="574" t="s">
        <v>1002</v>
      </c>
      <c r="B217" s="572" t="s">
        <v>1004</v>
      </c>
      <c r="C217" s="573">
        <f>VLOOKUP(A217,'Planilha Orçamentária'!$B$20:$H$430,7,FALSE)</f>
        <v>788</v>
      </c>
      <c r="D217" s="575">
        <f t="shared" ca="1" si="10"/>
        <v>2.0683246827961582E-4</v>
      </c>
      <c r="E217" s="575">
        <f t="shared" ca="1" si="12"/>
        <v>0.98878886501584407</v>
      </c>
      <c r="F217" s="574" t="str">
        <f t="shared" ca="1" si="11"/>
        <v>C</v>
      </c>
    </row>
    <row r="218" spans="1:6">
      <c r="A218" s="574" t="s">
        <v>1100</v>
      </c>
      <c r="B218" s="572" t="s">
        <v>1102</v>
      </c>
      <c r="C218" s="573">
        <f>VLOOKUP(A218,'Planilha Orçamentária'!$B$20:$H$430,7,FALSE)</f>
        <v>783</v>
      </c>
      <c r="D218" s="575">
        <f t="shared" ca="1" si="10"/>
        <v>2.0552007952149645E-4</v>
      </c>
      <c r="E218" s="575">
        <f t="shared" ca="1" si="12"/>
        <v>0.98899438509536552</v>
      </c>
      <c r="F218" s="574" t="str">
        <f t="shared" ca="1" si="11"/>
        <v>C</v>
      </c>
    </row>
    <row r="219" spans="1:6" ht="30">
      <c r="A219" s="574" t="s">
        <v>576</v>
      </c>
      <c r="B219" s="572" t="s">
        <v>578</v>
      </c>
      <c r="C219" s="573">
        <f>VLOOKUP(A219,'Planilha Orçamentária'!$B$20:$H$430,7,FALSE)</f>
        <v>782.03</v>
      </c>
      <c r="D219" s="575">
        <f t="shared" ca="1" si="10"/>
        <v>2.0526547610242126E-4</v>
      </c>
      <c r="E219" s="575">
        <f t="shared" ca="1" si="12"/>
        <v>0.98919965057146797</v>
      </c>
      <c r="F219" s="574" t="str">
        <f t="shared" ca="1" si="11"/>
        <v>C</v>
      </c>
    </row>
    <row r="220" spans="1:6">
      <c r="A220" s="574" t="s">
        <v>966</v>
      </c>
      <c r="B220" s="572" t="s">
        <v>968</v>
      </c>
      <c r="C220" s="573">
        <f>VLOOKUP(A220,'Planilha Orçamentária'!$B$20:$H$430,7,FALSE)</f>
        <v>772.59</v>
      </c>
      <c r="D220" s="575">
        <f t="shared" ca="1" si="10"/>
        <v>2.0278768612709189E-4</v>
      </c>
      <c r="E220" s="575">
        <f t="shared" ca="1" si="12"/>
        <v>0.98940243825759511</v>
      </c>
      <c r="F220" s="574" t="str">
        <f t="shared" ca="1" si="11"/>
        <v>C</v>
      </c>
    </row>
    <row r="221" spans="1:6" ht="45">
      <c r="A221" s="574" t="s">
        <v>170</v>
      </c>
      <c r="B221" s="572" t="s">
        <v>172</v>
      </c>
      <c r="C221" s="573">
        <f>VLOOKUP(A221,'Planilha Orçamentária'!$B$20:$H$430,7,FALSE)</f>
        <v>763.76</v>
      </c>
      <c r="D221" s="575">
        <f t="shared" ca="1" si="10"/>
        <v>2.0047000758025303E-4</v>
      </c>
      <c r="E221" s="575">
        <f t="shared" ca="1" si="12"/>
        <v>0.98960290826517538</v>
      </c>
      <c r="F221" s="574" t="str">
        <f t="shared" ca="1" si="11"/>
        <v>C</v>
      </c>
    </row>
    <row r="222" spans="1:6" ht="30">
      <c r="A222" s="574" t="s">
        <v>866</v>
      </c>
      <c r="B222" s="572" t="s">
        <v>868</v>
      </c>
      <c r="C222" s="573">
        <f>VLOOKUP(A222,'Planilha Orçamentária'!$B$20:$H$430,7,FALSE)</f>
        <v>759.69</v>
      </c>
      <c r="D222" s="575">
        <f t="shared" ca="1" si="10"/>
        <v>1.9940172313114387E-4</v>
      </c>
      <c r="E222" s="575">
        <f t="shared" ca="1" si="12"/>
        <v>0.98980230998830654</v>
      </c>
      <c r="F222" s="574" t="str">
        <f t="shared" ca="1" si="11"/>
        <v>C</v>
      </c>
    </row>
    <row r="223" spans="1:6" ht="45">
      <c r="A223" s="574" t="s">
        <v>1030</v>
      </c>
      <c r="B223" s="572" t="s">
        <v>1032</v>
      </c>
      <c r="C223" s="573">
        <f>VLOOKUP(A223,'Planilha Orçamentária'!$B$20:$H$430,7,FALSE)</f>
        <v>759.56</v>
      </c>
      <c r="D223" s="575">
        <f t="shared" ca="1" si="10"/>
        <v>1.9936760102343273E-4</v>
      </c>
      <c r="E223" s="575">
        <f t="shared" ca="1" si="12"/>
        <v>0.99000167758933</v>
      </c>
      <c r="F223" s="574" t="str">
        <f t="shared" ca="1" si="11"/>
        <v>C</v>
      </c>
    </row>
    <row r="224" spans="1:6" ht="30">
      <c r="A224" s="574" t="s">
        <v>327</v>
      </c>
      <c r="B224" s="572" t="s">
        <v>329</v>
      </c>
      <c r="C224" s="573">
        <f>VLOOKUP(A224,'Planilha Orçamentária'!$B$20:$H$430,7,FALSE)</f>
        <v>757.197</v>
      </c>
      <c r="D224" s="575">
        <f t="shared" ca="1" si="10"/>
        <v>1.9874736609634553E-4</v>
      </c>
      <c r="E224" s="575">
        <f t="shared" ca="1" si="12"/>
        <v>0.99020042495542637</v>
      </c>
      <c r="F224" s="574" t="str">
        <f t="shared" ca="1" si="11"/>
        <v>C</v>
      </c>
    </row>
    <row r="225" spans="1:6" ht="30">
      <c r="A225" s="574" t="s">
        <v>603</v>
      </c>
      <c r="B225" s="572" t="s">
        <v>605</v>
      </c>
      <c r="C225" s="573">
        <f>VLOOKUP(A225,'Planilha Orçamentária'!$B$20:$H$430,7,FALSE)</f>
        <v>755.04</v>
      </c>
      <c r="D225" s="575">
        <f t="shared" ca="1" si="10"/>
        <v>1.9818120158609281E-4</v>
      </c>
      <c r="E225" s="575">
        <f t="shared" ca="1" si="12"/>
        <v>0.99039860615701247</v>
      </c>
      <c r="F225" s="574" t="str">
        <f t="shared" ca="1" si="11"/>
        <v>C</v>
      </c>
    </row>
    <row r="226" spans="1:6" ht="30">
      <c r="A226" s="574" t="s">
        <v>1106</v>
      </c>
      <c r="B226" s="572" t="s">
        <v>1108</v>
      </c>
      <c r="C226" s="573">
        <f>VLOOKUP(A226,'Planilha Orçamentária'!$B$20:$H$430,7,FALSE)</f>
        <v>754.41</v>
      </c>
      <c r="D226" s="575">
        <f t="shared" ca="1" si="10"/>
        <v>1.9801584060256976E-4</v>
      </c>
      <c r="E226" s="575">
        <f t="shared" ca="1" si="12"/>
        <v>0.990596621997615</v>
      </c>
      <c r="F226" s="574" t="str">
        <f t="shared" ca="1" si="11"/>
        <v>C</v>
      </c>
    </row>
    <row r="227" spans="1:6">
      <c r="A227" s="574" t="s">
        <v>651</v>
      </c>
      <c r="B227" s="572" t="s">
        <v>653</v>
      </c>
      <c r="C227" s="573">
        <f>VLOOKUP(A227,'Planilha Orçamentária'!$B$20:$H$430,7,FALSE)</f>
        <v>753.15</v>
      </c>
      <c r="D227" s="575">
        <f t="shared" ca="1" si="10"/>
        <v>1.9768511863552368E-4</v>
      </c>
      <c r="E227" s="575">
        <f t="shared" ca="1" si="12"/>
        <v>0.99079430711625049</v>
      </c>
      <c r="F227" s="574" t="str">
        <f t="shared" ca="1" si="11"/>
        <v>C</v>
      </c>
    </row>
    <row r="228" spans="1:6" ht="30">
      <c r="A228" s="574" t="s">
        <v>1122</v>
      </c>
      <c r="B228" s="572" t="s">
        <v>1124</v>
      </c>
      <c r="C228" s="573">
        <f>VLOOKUP(A228,'Planilha Orçamentária'!$B$20:$H$430,7,FALSE)</f>
        <v>742.66</v>
      </c>
      <c r="D228" s="575">
        <f t="shared" ca="1" si="10"/>
        <v>1.9493172702098919E-4</v>
      </c>
      <c r="E228" s="575">
        <f t="shared" ca="1" si="12"/>
        <v>0.9909892388432715</v>
      </c>
      <c r="F228" s="574" t="str">
        <f t="shared" ca="1" si="11"/>
        <v>C</v>
      </c>
    </row>
    <row r="229" spans="1:6" ht="30">
      <c r="A229" s="574" t="s">
        <v>207</v>
      </c>
      <c r="B229" s="572" t="s">
        <v>209</v>
      </c>
      <c r="C229" s="573">
        <f>VLOOKUP(A229,'Planilha Orçamentária'!$B$20:$H$430,7,FALSE)</f>
        <v>732.25199999999984</v>
      </c>
      <c r="D229" s="575">
        <f t="shared" ca="1" si="10"/>
        <v>1.9219985858208785E-4</v>
      </c>
      <c r="E229" s="575">
        <f t="shared" ca="1" si="12"/>
        <v>0.9911814387018536</v>
      </c>
      <c r="F229" s="574" t="str">
        <f t="shared" ca="1" si="11"/>
        <v>C</v>
      </c>
    </row>
    <row r="230" spans="1:6">
      <c r="A230" s="574" t="s">
        <v>718</v>
      </c>
      <c r="B230" s="572" t="s">
        <v>720</v>
      </c>
      <c r="C230" s="573">
        <f>VLOOKUP(A230,'Planilha Orçamentária'!$B$20:$H$430,7,FALSE)</f>
        <v>704.9</v>
      </c>
      <c r="D230" s="575">
        <f t="shared" ca="1" si="10"/>
        <v>1.8502056711967158E-4</v>
      </c>
      <c r="E230" s="575">
        <f t="shared" ca="1" si="12"/>
        <v>0.99136645926897327</v>
      </c>
      <c r="F230" s="574" t="str">
        <f t="shared" ca="1" si="11"/>
        <v>C</v>
      </c>
    </row>
    <row r="231" spans="1:6" ht="30">
      <c r="A231" s="574" t="s">
        <v>642</v>
      </c>
      <c r="B231" s="572" t="s">
        <v>644</v>
      </c>
      <c r="C231" s="573">
        <f>VLOOKUP(A231,'Planilha Orçamentária'!$B$20:$H$430,7,FALSE)</f>
        <v>703.85</v>
      </c>
      <c r="D231" s="575">
        <f t="shared" ca="1" si="10"/>
        <v>1.8474496548046652E-4</v>
      </c>
      <c r="E231" s="575">
        <f t="shared" ca="1" si="12"/>
        <v>0.99155120423445375</v>
      </c>
      <c r="F231" s="574" t="str">
        <f t="shared" ca="1" si="11"/>
        <v>C</v>
      </c>
    </row>
    <row r="232" spans="1:6" ht="30">
      <c r="A232" s="574" t="s">
        <v>630</v>
      </c>
      <c r="B232" s="572" t="s">
        <v>632</v>
      </c>
      <c r="C232" s="573">
        <f>VLOOKUP(A232,'Planilha Orçamentária'!$B$20:$H$430,7,FALSE)</f>
        <v>680</v>
      </c>
      <c r="D232" s="575">
        <f t="shared" ref="D232:D290" ca="1" si="13">C232/$C$335</f>
        <v>1.7848487110423702E-4</v>
      </c>
      <c r="E232" s="575">
        <f t="shared" ca="1" si="12"/>
        <v>0.99172968910555803</v>
      </c>
      <c r="F232" s="574" t="str">
        <f t="shared" ref="F232:F290" ca="1" si="14">IF(E232&lt;=$K$4,"A",IF(E232&lt;=$K$5,"B","C"))</f>
        <v>C</v>
      </c>
    </row>
    <row r="233" spans="1:6" ht="30">
      <c r="A233" s="574" t="s">
        <v>491</v>
      </c>
      <c r="B233" s="572" t="s">
        <v>493</v>
      </c>
      <c r="C233" s="573">
        <f>VLOOKUP(A233,'Planilha Orçamentária'!$B$20:$H$430,7,FALSE)</f>
        <v>670.94999999999993</v>
      </c>
      <c r="D233" s="575">
        <f t="shared" ca="1" si="13"/>
        <v>1.7610944745204089E-4</v>
      </c>
      <c r="E233" s="575">
        <f t="shared" ca="1" si="12"/>
        <v>0.99190579855301009</v>
      </c>
      <c r="F233" s="574" t="str">
        <f t="shared" ca="1" si="14"/>
        <v>C</v>
      </c>
    </row>
    <row r="234" spans="1:6" ht="30">
      <c r="A234" s="574" t="s">
        <v>811</v>
      </c>
      <c r="B234" s="572" t="s">
        <v>813</v>
      </c>
      <c r="C234" s="573">
        <f>VLOOKUP(A234,'Planilha Orçamentária'!$B$20:$H$430,7,FALSE)</f>
        <v>662.69999999999993</v>
      </c>
      <c r="D234" s="575">
        <f t="shared" ca="1" si="13"/>
        <v>1.739440060011439E-4</v>
      </c>
      <c r="E234" s="575">
        <f t="shared" ca="1" si="12"/>
        <v>0.99207974255901121</v>
      </c>
      <c r="F234" s="574" t="str">
        <f t="shared" ca="1" si="14"/>
        <v>C</v>
      </c>
    </row>
    <row r="235" spans="1:6">
      <c r="A235" s="574" t="s">
        <v>924</v>
      </c>
      <c r="B235" s="572" t="s">
        <v>926</v>
      </c>
      <c r="C235" s="573">
        <f>VLOOKUP(A235,'Planilha Orçamentária'!$B$20:$H$430,7,FALSE)</f>
        <v>660.08</v>
      </c>
      <c r="D235" s="575">
        <f t="shared" ca="1" si="13"/>
        <v>1.7325631429188938E-4</v>
      </c>
      <c r="E235" s="575">
        <f t="shared" ca="1" si="12"/>
        <v>0.99225299887330309</v>
      </c>
      <c r="F235" s="574" t="str">
        <f t="shared" ca="1" si="14"/>
        <v>C</v>
      </c>
    </row>
    <row r="236" spans="1:6" ht="30">
      <c r="A236" s="574" t="s">
        <v>655</v>
      </c>
      <c r="B236" s="572" t="s">
        <v>657</v>
      </c>
      <c r="C236" s="573">
        <f>VLOOKUP(A236,'Planilha Orçamentária'!$B$20:$H$430,7,FALSE)</f>
        <v>657.37</v>
      </c>
      <c r="D236" s="575">
        <f t="shared" ca="1" si="13"/>
        <v>1.7254499958498865E-4</v>
      </c>
      <c r="E236" s="575">
        <f t="shared" ca="1" si="12"/>
        <v>0.99242554387288806</v>
      </c>
      <c r="F236" s="574" t="str">
        <f t="shared" ca="1" si="14"/>
        <v>C</v>
      </c>
    </row>
    <row r="237" spans="1:6" ht="45">
      <c r="A237" s="574" t="s">
        <v>39</v>
      </c>
      <c r="B237" s="572" t="s">
        <v>41</v>
      </c>
      <c r="C237" s="573">
        <f>VLOOKUP(A237,'Planilha Orçamentária'!$B$20:$H$430,7,FALSE)</f>
        <v>656.55000000000007</v>
      </c>
      <c r="D237" s="575">
        <f t="shared" ca="1" si="13"/>
        <v>1.7232976782865708E-4</v>
      </c>
      <c r="E237" s="575">
        <f t="shared" ca="1" si="12"/>
        <v>0.99259787364071672</v>
      </c>
      <c r="F237" s="574" t="str">
        <f t="shared" ca="1" si="14"/>
        <v>C</v>
      </c>
    </row>
    <row r="238" spans="1:6">
      <c r="A238" s="574" t="s">
        <v>857</v>
      </c>
      <c r="B238" s="572" t="s">
        <v>859</v>
      </c>
      <c r="C238" s="573">
        <f>VLOOKUP(A238,'Planilha Orçamentária'!$B$20:$H$430,7,FALSE)</f>
        <v>656</v>
      </c>
      <c r="D238" s="575">
        <f t="shared" ca="1" si="13"/>
        <v>1.7218540506526393E-4</v>
      </c>
      <c r="E238" s="575">
        <f t="shared" ca="1" si="12"/>
        <v>0.99277005904578197</v>
      </c>
      <c r="F238" s="574" t="str">
        <f t="shared" ca="1" si="14"/>
        <v>C</v>
      </c>
    </row>
    <row r="239" spans="1:6" ht="30">
      <c r="A239" s="574" t="s">
        <v>887</v>
      </c>
      <c r="B239" s="572" t="s">
        <v>889</v>
      </c>
      <c r="C239" s="573">
        <f>VLOOKUP(A239,'Planilha Orçamentária'!$B$20:$H$430,7,FALSE)</f>
        <v>633.20000000000005</v>
      </c>
      <c r="D239" s="575">
        <f t="shared" ca="1" si="13"/>
        <v>1.6620091232823954E-4</v>
      </c>
      <c r="E239" s="575">
        <f t="shared" ca="1" si="12"/>
        <v>0.99293625995811019</v>
      </c>
      <c r="F239" s="574" t="str">
        <f t="shared" ca="1" si="14"/>
        <v>C</v>
      </c>
    </row>
    <row r="240" spans="1:6" ht="45">
      <c r="A240" s="574" t="s">
        <v>376</v>
      </c>
      <c r="B240" s="572" t="s">
        <v>378</v>
      </c>
      <c r="C240" s="573">
        <f>VLOOKUP(A240,'Planilha Orçamentária'!$B$20:$H$430,7,FALSE)</f>
        <v>630.1</v>
      </c>
      <c r="D240" s="575">
        <f t="shared" ca="1" si="13"/>
        <v>1.6538723129820552E-4</v>
      </c>
      <c r="E240" s="575">
        <f t="shared" ca="1" si="12"/>
        <v>0.99310164718940841</v>
      </c>
      <c r="F240" s="574" t="str">
        <f t="shared" ca="1" si="14"/>
        <v>C</v>
      </c>
    </row>
    <row r="241" spans="1:6" ht="30">
      <c r="A241" s="574" t="s">
        <v>443</v>
      </c>
      <c r="B241" s="572" t="s">
        <v>445</v>
      </c>
      <c r="C241" s="573">
        <f>VLOOKUP(A241,'Planilha Orçamentária'!$B$20:$H$430,7,FALSE)</f>
        <v>627</v>
      </c>
      <c r="D241" s="575">
        <f t="shared" ca="1" si="13"/>
        <v>1.6457355026817149E-4</v>
      </c>
      <c r="E241" s="575">
        <f t="shared" ca="1" si="12"/>
        <v>0.99326622073967663</v>
      </c>
      <c r="F241" s="574" t="str">
        <f t="shared" ca="1" si="14"/>
        <v>C</v>
      </c>
    </row>
    <row r="242" spans="1:6">
      <c r="A242" s="574" t="s">
        <v>479</v>
      </c>
      <c r="B242" s="572" t="s">
        <v>481</v>
      </c>
      <c r="C242" s="573">
        <f>VLOOKUP(A242,'Planilha Orçamentária'!$B$20:$H$430,7,FALSE)</f>
        <v>613.6</v>
      </c>
      <c r="D242" s="575">
        <f t="shared" ca="1" si="13"/>
        <v>1.6105634839641152E-4</v>
      </c>
      <c r="E242" s="575">
        <f t="shared" ca="1" si="12"/>
        <v>0.99342727708807299</v>
      </c>
      <c r="F242" s="574" t="str">
        <f t="shared" ca="1" si="14"/>
        <v>C</v>
      </c>
    </row>
    <row r="243" spans="1:6">
      <c r="A243" s="574" t="s">
        <v>724</v>
      </c>
      <c r="B243" s="572" t="s">
        <v>726</v>
      </c>
      <c r="C243" s="573">
        <f>VLOOKUP(A243,'Planilha Orçamentária'!$B$20:$H$430,7,FALSE)</f>
        <v>601.45000000000005</v>
      </c>
      <c r="D243" s="575">
        <f t="shared" ca="1" si="13"/>
        <v>1.5786724371418142E-4</v>
      </c>
      <c r="E243" s="575">
        <f t="shared" ca="1" si="12"/>
        <v>0.99358514433178713</v>
      </c>
      <c r="F243" s="574" t="str">
        <f t="shared" ca="1" si="14"/>
        <v>C</v>
      </c>
    </row>
    <row r="244" spans="1:6">
      <c r="A244" s="574" t="s">
        <v>823</v>
      </c>
      <c r="B244" s="572" t="s">
        <v>825</v>
      </c>
      <c r="C244" s="573">
        <f>VLOOKUP(A244,'Planilha Orçamentária'!$B$20:$H$430,7,FALSE)</f>
        <v>599.16</v>
      </c>
      <c r="D244" s="575">
        <f t="shared" ca="1" si="13"/>
        <v>1.5726616966296272E-4</v>
      </c>
      <c r="E244" s="575">
        <f t="shared" ca="1" si="12"/>
        <v>0.99374241050145007</v>
      </c>
      <c r="F244" s="574" t="str">
        <f t="shared" ca="1" si="14"/>
        <v>C</v>
      </c>
    </row>
    <row r="245" spans="1:6" ht="30">
      <c r="A245" s="574" t="s">
        <v>1078</v>
      </c>
      <c r="B245" s="572" t="s">
        <v>908</v>
      </c>
      <c r="C245" s="573">
        <f>VLOOKUP(A245,'Planilha Orçamentária'!$B$20:$H$430,7,FALSE)</f>
        <v>569.16</v>
      </c>
      <c r="D245" s="575">
        <f t="shared" ca="1" si="13"/>
        <v>1.4939183711424638E-4</v>
      </c>
      <c r="E245" s="575">
        <f t="shared" ca="1" si="12"/>
        <v>0.99389180233856433</v>
      </c>
      <c r="F245" s="574" t="str">
        <f t="shared" ca="1" si="14"/>
        <v>C</v>
      </c>
    </row>
    <row r="246" spans="1:6" ht="30">
      <c r="A246" s="574" t="s">
        <v>835</v>
      </c>
      <c r="B246" s="572" t="s">
        <v>837</v>
      </c>
      <c r="C246" s="573">
        <f>VLOOKUP(A246,'Planilha Orçamentária'!$B$20:$H$430,7,FALSE)</f>
        <v>565.91999999999996</v>
      </c>
      <c r="D246" s="575">
        <f t="shared" ca="1" si="13"/>
        <v>1.48541409198985E-4</v>
      </c>
      <c r="E246" s="575">
        <f t="shared" ca="1" si="12"/>
        <v>0.99404034374776329</v>
      </c>
      <c r="F246" s="574" t="str">
        <f t="shared" ca="1" si="14"/>
        <v>C</v>
      </c>
    </row>
    <row r="247" spans="1:6" ht="30">
      <c r="A247" s="574" t="s">
        <v>1072</v>
      </c>
      <c r="B247" s="572" t="s">
        <v>1074</v>
      </c>
      <c r="C247" s="573">
        <f>VLOOKUP(A247,'Planilha Orçamentária'!$B$20:$H$430,7,FALSE)</f>
        <v>546.65</v>
      </c>
      <c r="D247" s="575">
        <f t="shared" ca="1" si="13"/>
        <v>1.4348346292519288E-4</v>
      </c>
      <c r="E247" s="575">
        <f t="shared" ca="1" si="12"/>
        <v>0.99418382721068843</v>
      </c>
      <c r="F247" s="574" t="str">
        <f t="shared" ca="1" si="14"/>
        <v>C</v>
      </c>
    </row>
    <row r="248" spans="1:6">
      <c r="A248" s="574" t="s">
        <v>960</v>
      </c>
      <c r="B248" s="572" t="s">
        <v>962</v>
      </c>
      <c r="C248" s="573">
        <f>VLOOKUP(A248,'Planilha Orçamentária'!$B$20:$H$430,7,FALSE)</f>
        <v>544.72</v>
      </c>
      <c r="D248" s="575">
        <f t="shared" ca="1" si="13"/>
        <v>1.4297688086455882E-4</v>
      </c>
      <c r="E248" s="575">
        <f t="shared" ref="E248:E311" ca="1" si="15">D248+E247</f>
        <v>0.99432680409155294</v>
      </c>
      <c r="F248" s="574" t="str">
        <f t="shared" ca="1" si="14"/>
        <v>C</v>
      </c>
    </row>
    <row r="249" spans="1:6" ht="30">
      <c r="A249" s="574" t="s">
        <v>664</v>
      </c>
      <c r="B249" s="572" t="s">
        <v>666</v>
      </c>
      <c r="C249" s="573">
        <f>VLOOKUP(A249,'Planilha Orçamentária'!$B$20:$H$430,7,FALSE)</f>
        <v>541.3187999999999</v>
      </c>
      <c r="D249" s="575">
        <f t="shared" ca="1" si="13"/>
        <v>1.4208414153573564E-4</v>
      </c>
      <c r="E249" s="575">
        <f t="shared" ca="1" si="15"/>
        <v>0.99446888823308865</v>
      </c>
      <c r="F249" s="574" t="str">
        <f t="shared" ca="1" si="14"/>
        <v>C</v>
      </c>
    </row>
    <row r="250" spans="1:6" ht="30">
      <c r="A250" s="574" t="s">
        <v>1082</v>
      </c>
      <c r="B250" s="572" t="s">
        <v>1084</v>
      </c>
      <c r="C250" s="573">
        <f>VLOOKUP(A250,'Planilha Orçamentária'!$B$20:$H$430,7,FALSE)</f>
        <v>534.29999999999995</v>
      </c>
      <c r="D250" s="575">
        <f t="shared" ca="1" si="13"/>
        <v>1.4024186269263799E-4</v>
      </c>
      <c r="E250" s="575">
        <f t="shared" ca="1" si="15"/>
        <v>0.99460913009578134</v>
      </c>
      <c r="F250" s="574" t="str">
        <f t="shared" ca="1" si="14"/>
        <v>C</v>
      </c>
    </row>
    <row r="251" spans="1:6" ht="30">
      <c r="A251" s="574" t="s">
        <v>633</v>
      </c>
      <c r="B251" s="572" t="s">
        <v>635</v>
      </c>
      <c r="C251" s="573">
        <f>VLOOKUP(A251,'Planilha Orçamentária'!$B$20:$H$430,7,FALSE)</f>
        <v>525.09</v>
      </c>
      <c r="D251" s="575">
        <f t="shared" ca="1" si="13"/>
        <v>1.3782444260018208E-4</v>
      </c>
      <c r="E251" s="575">
        <f t="shared" ca="1" si="15"/>
        <v>0.99474695453838147</v>
      </c>
      <c r="F251" s="574" t="str">
        <f t="shared" ca="1" si="14"/>
        <v>C</v>
      </c>
    </row>
    <row r="252" spans="1:6">
      <c r="A252" s="574" t="s">
        <v>721</v>
      </c>
      <c r="B252" s="572" t="s">
        <v>723</v>
      </c>
      <c r="C252" s="573">
        <f>VLOOKUP(A252,'Planilha Orçamentária'!$B$20:$H$430,7,FALSE)</f>
        <v>514.88</v>
      </c>
      <c r="D252" s="575">
        <f t="shared" ca="1" si="13"/>
        <v>1.3514454475610228E-4</v>
      </c>
      <c r="E252" s="575">
        <f t="shared" ca="1" si="15"/>
        <v>0.99488209908313752</v>
      </c>
      <c r="F252" s="574" t="str">
        <f t="shared" ca="1" si="14"/>
        <v>C</v>
      </c>
    </row>
    <row r="253" spans="1:6">
      <c r="A253" s="574" t="s">
        <v>1036</v>
      </c>
      <c r="B253" s="572" t="s">
        <v>1038</v>
      </c>
      <c r="C253" s="573">
        <f>VLOOKUP(A253,'Planilha Orçamentária'!$B$20:$H$430,7,FALSE)</f>
        <v>505.08</v>
      </c>
      <c r="D253" s="575">
        <f t="shared" ca="1" si="13"/>
        <v>1.3257226279018828E-4</v>
      </c>
      <c r="E253" s="575">
        <f t="shared" ca="1" si="15"/>
        <v>0.99501467134592769</v>
      </c>
      <c r="F253" s="574" t="str">
        <f t="shared" ca="1" si="14"/>
        <v>C</v>
      </c>
    </row>
    <row r="254" spans="1:6" ht="30">
      <c r="A254" s="574" t="s">
        <v>459</v>
      </c>
      <c r="B254" s="572" t="s">
        <v>461</v>
      </c>
      <c r="C254" s="573">
        <f>VLOOKUP(A254,'Planilha Orçamentária'!$B$20:$H$430,7,FALSE)</f>
        <v>504.21000000000004</v>
      </c>
      <c r="D254" s="575">
        <f t="shared" ca="1" si="13"/>
        <v>1.3234390714627551E-4</v>
      </c>
      <c r="E254" s="575">
        <f t="shared" ca="1" si="15"/>
        <v>0.99514701525307392</v>
      </c>
      <c r="F254" s="574" t="str">
        <f t="shared" ca="1" si="14"/>
        <v>C</v>
      </c>
    </row>
    <row r="255" spans="1:6" ht="30">
      <c r="A255" s="574" t="s">
        <v>523</v>
      </c>
      <c r="B255" s="572" t="s">
        <v>525</v>
      </c>
      <c r="C255" s="573">
        <f>VLOOKUP(A255,'Planilha Orçamentária'!$B$20:$H$430,7,FALSE)</f>
        <v>503.73</v>
      </c>
      <c r="D255" s="575">
        <f t="shared" ca="1" si="13"/>
        <v>1.3221791782549606E-4</v>
      </c>
      <c r="E255" s="575">
        <f t="shared" ca="1" si="15"/>
        <v>0.99527923317089939</v>
      </c>
      <c r="F255" s="574" t="str">
        <f t="shared" ca="1" si="14"/>
        <v>C</v>
      </c>
    </row>
    <row r="256" spans="1:6" ht="30">
      <c r="A256" s="574" t="s">
        <v>500</v>
      </c>
      <c r="B256" s="572" t="s">
        <v>502</v>
      </c>
      <c r="C256" s="573">
        <f>VLOOKUP(A256,'Planilha Orçamentária'!$B$20:$H$430,7,FALSE)</f>
        <v>501.59999999999997</v>
      </c>
      <c r="D256" s="575">
        <f t="shared" ca="1" si="13"/>
        <v>1.3165884021453718E-4</v>
      </c>
      <c r="E256" s="575">
        <f t="shared" ca="1" si="15"/>
        <v>0.99541089201111388</v>
      </c>
      <c r="F256" s="574" t="str">
        <f t="shared" ca="1" si="14"/>
        <v>C</v>
      </c>
    </row>
    <row r="257" spans="1:6" ht="30">
      <c r="A257" s="574" t="s">
        <v>1039</v>
      </c>
      <c r="B257" s="572" t="s">
        <v>1041</v>
      </c>
      <c r="C257" s="573">
        <f>VLOOKUP(A257,'Planilha Orçamentária'!$B$20:$H$430,7,FALSE)</f>
        <v>480.59999999999997</v>
      </c>
      <c r="D257" s="575">
        <f t="shared" ca="1" si="13"/>
        <v>1.2614680743043574E-4</v>
      </c>
      <c r="E257" s="575">
        <f t="shared" ca="1" si="15"/>
        <v>0.99553703881854427</v>
      </c>
      <c r="F257" s="574" t="str">
        <f t="shared" ca="1" si="14"/>
        <v>C</v>
      </c>
    </row>
    <row r="258" spans="1:6" ht="30">
      <c r="A258" s="574" t="s">
        <v>428</v>
      </c>
      <c r="B258" s="572" t="s">
        <v>430</v>
      </c>
      <c r="C258" s="573">
        <f>VLOOKUP(A258,'Planilha Orçamentária'!$B$20:$H$430,7,FALSE)</f>
        <v>476.70000000000005</v>
      </c>
      <c r="D258" s="575">
        <f t="shared" ca="1" si="13"/>
        <v>1.2512314419910262E-4</v>
      </c>
      <c r="E258" s="575">
        <f t="shared" ca="1" si="15"/>
        <v>0.99566216196274338</v>
      </c>
      <c r="F258" s="574" t="str">
        <f t="shared" ca="1" si="14"/>
        <v>C</v>
      </c>
    </row>
    <row r="259" spans="1:6" ht="30">
      <c r="A259" s="574" t="s">
        <v>482</v>
      </c>
      <c r="B259" s="572" t="s">
        <v>484</v>
      </c>
      <c r="C259" s="573">
        <f>VLOOKUP(A259,'Planilha Orçamentária'!$B$20:$H$430,7,FALSE)</f>
        <v>468.90000000000003</v>
      </c>
      <c r="D259" s="575">
        <f t="shared" ca="1" si="13"/>
        <v>1.230758177364364E-4</v>
      </c>
      <c r="E259" s="575">
        <f t="shared" ca="1" si="15"/>
        <v>0.99578523778047978</v>
      </c>
      <c r="F259" s="574" t="str">
        <f t="shared" ca="1" si="14"/>
        <v>C</v>
      </c>
    </row>
    <row r="260" spans="1:6">
      <c r="A260" s="574" t="s">
        <v>591</v>
      </c>
      <c r="B260" s="572" t="s">
        <v>593</v>
      </c>
      <c r="C260" s="573">
        <f>VLOOKUP(A260,'Planilha Orçamentária'!$B$20:$H$430,7,FALSE)</f>
        <v>462.36</v>
      </c>
      <c r="D260" s="575">
        <f t="shared" ca="1" si="13"/>
        <v>1.2135921324081621E-4</v>
      </c>
      <c r="E260" s="575">
        <f t="shared" ca="1" si="15"/>
        <v>0.99590659699372064</v>
      </c>
      <c r="F260" s="574" t="str">
        <f t="shared" ca="1" si="14"/>
        <v>C</v>
      </c>
    </row>
    <row r="261" spans="1:6">
      <c r="A261" s="574" t="s">
        <v>826</v>
      </c>
      <c r="B261" s="572" t="s">
        <v>828</v>
      </c>
      <c r="C261" s="573">
        <f>VLOOKUP(A261,'Planilha Orçamentária'!$B$20:$H$430,7,FALSE)</f>
        <v>437.40000000000003</v>
      </c>
      <c r="D261" s="575">
        <f t="shared" ca="1" si="13"/>
        <v>1.1480776856028424E-4</v>
      </c>
      <c r="E261" s="575">
        <f t="shared" ca="1" si="15"/>
        <v>0.99602140476228096</v>
      </c>
      <c r="F261" s="574" t="str">
        <f t="shared" ca="1" si="14"/>
        <v>C</v>
      </c>
    </row>
    <row r="262" spans="1:6" ht="30">
      <c r="A262" s="574" t="s">
        <v>425</v>
      </c>
      <c r="B262" s="572" t="s">
        <v>427</v>
      </c>
      <c r="C262" s="573">
        <f>VLOOKUP(A262,'Planilha Orçamentária'!$B$20:$H$430,7,FALSE)</f>
        <v>431.1</v>
      </c>
      <c r="D262" s="575">
        <f t="shared" ca="1" si="13"/>
        <v>1.1315415872505379E-4</v>
      </c>
      <c r="E262" s="575">
        <f t="shared" ca="1" si="15"/>
        <v>0.996134558921006</v>
      </c>
      <c r="F262" s="574" t="str">
        <f t="shared" ca="1" si="14"/>
        <v>C</v>
      </c>
    </row>
    <row r="263" spans="1:6">
      <c r="A263" s="574" t="s">
        <v>597</v>
      </c>
      <c r="B263" s="572" t="s">
        <v>599</v>
      </c>
      <c r="C263" s="573">
        <f>VLOOKUP(A263,'Planilha Orçamentária'!$B$20:$H$430,7,FALSE)</f>
        <v>403.5</v>
      </c>
      <c r="D263" s="575">
        <f t="shared" ca="1" si="13"/>
        <v>1.0590977278023476E-4</v>
      </c>
      <c r="E263" s="575">
        <f t="shared" ca="1" si="15"/>
        <v>0.99624046869378624</v>
      </c>
      <c r="F263" s="574" t="str">
        <f t="shared" ca="1" si="14"/>
        <v>C</v>
      </c>
    </row>
    <row r="264" spans="1:6">
      <c r="A264" s="574" t="s">
        <v>673</v>
      </c>
      <c r="B264" s="572" t="s">
        <v>675</v>
      </c>
      <c r="C264" s="573">
        <f>VLOOKUP(A264,'Planilha Orçamentária'!$B$20:$H$430,7,FALSE)</f>
        <v>395.12</v>
      </c>
      <c r="D264" s="575">
        <f t="shared" ca="1" si="13"/>
        <v>1.0371020922162666E-4</v>
      </c>
      <c r="E264" s="575">
        <f t="shared" ca="1" si="15"/>
        <v>0.99634417890300786</v>
      </c>
      <c r="F264" s="574" t="str">
        <f t="shared" ca="1" si="14"/>
        <v>C</v>
      </c>
    </row>
    <row r="265" spans="1:6" ht="30">
      <c r="A265" s="574" t="s">
        <v>884</v>
      </c>
      <c r="B265" s="572" t="s">
        <v>886</v>
      </c>
      <c r="C265" s="573">
        <f>VLOOKUP(A265,'Planilha Orçamentária'!$B$20:$H$430,7,FALSE)</f>
        <v>391.93</v>
      </c>
      <c r="D265" s="575">
        <f t="shared" ca="1" si="13"/>
        <v>1.0287290519394649E-4</v>
      </c>
      <c r="E265" s="575">
        <f t="shared" ca="1" si="15"/>
        <v>0.99644705180820181</v>
      </c>
      <c r="F265" s="574" t="str">
        <f t="shared" ca="1" si="14"/>
        <v>C</v>
      </c>
    </row>
    <row r="266" spans="1:6">
      <c r="A266" s="574" t="s">
        <v>805</v>
      </c>
      <c r="B266" s="572" t="s">
        <v>807</v>
      </c>
      <c r="C266" s="573">
        <f>VLOOKUP(A266,'Planilha Orçamentária'!$B$20:$H$430,7,FALSE)</f>
        <v>391.6</v>
      </c>
      <c r="D266" s="575">
        <f t="shared" ca="1" si="13"/>
        <v>1.0278628753591061E-4</v>
      </c>
      <c r="E266" s="575">
        <f t="shared" ca="1" si="15"/>
        <v>0.99654983809573772</v>
      </c>
      <c r="F266" s="574" t="str">
        <f t="shared" ca="1" si="14"/>
        <v>C</v>
      </c>
    </row>
    <row r="267" spans="1:6">
      <c r="A267" s="574" t="s">
        <v>712</v>
      </c>
      <c r="B267" s="572" t="s">
        <v>714</v>
      </c>
      <c r="C267" s="573">
        <f>VLOOKUP(A267,'Planilha Orçamentária'!$B$20:$H$430,7,FALSE)</f>
        <v>385.3</v>
      </c>
      <c r="D267" s="575">
        <f t="shared" ca="1" si="13"/>
        <v>1.0113267770068018E-4</v>
      </c>
      <c r="E267" s="575">
        <f t="shared" ca="1" si="15"/>
        <v>0.99665097077343845</v>
      </c>
      <c r="F267" s="574" t="str">
        <f t="shared" ca="1" si="14"/>
        <v>C</v>
      </c>
    </row>
    <row r="268" spans="1:6">
      <c r="A268" s="574" t="s">
        <v>512</v>
      </c>
      <c r="B268" s="572" t="s">
        <v>514</v>
      </c>
      <c r="C268" s="573">
        <f>VLOOKUP(A268,'Planilha Orçamentária'!$B$20:$H$430,7,FALSE)</f>
        <v>382.8</v>
      </c>
      <c r="D268" s="575">
        <f t="shared" ca="1" si="13"/>
        <v>1.0047648332162048E-4</v>
      </c>
      <c r="E268" s="575">
        <f t="shared" ca="1" si="15"/>
        <v>0.99675144725676001</v>
      </c>
      <c r="F268" s="574" t="str">
        <f t="shared" ca="1" si="14"/>
        <v>C</v>
      </c>
    </row>
    <row r="269" spans="1:6">
      <c r="A269" s="574" t="s">
        <v>695</v>
      </c>
      <c r="B269" s="572" t="s">
        <v>697</v>
      </c>
      <c r="C269" s="573">
        <f>VLOOKUP(A269,'Planilha Orçamentária'!$B$20:$H$430,7,FALSE)</f>
        <v>380.9</v>
      </c>
      <c r="D269" s="575">
        <f t="shared" ca="1" si="13"/>
        <v>9.9977775593535111E-5</v>
      </c>
      <c r="E269" s="575">
        <f t="shared" ca="1" si="15"/>
        <v>0.99685142503235358</v>
      </c>
      <c r="F269" s="574" t="str">
        <f t="shared" ca="1" si="14"/>
        <v>C</v>
      </c>
    </row>
    <row r="270" spans="1:6" ht="30">
      <c r="A270" s="574" t="s">
        <v>520</v>
      </c>
      <c r="B270" s="572" t="s">
        <v>522</v>
      </c>
      <c r="C270" s="573">
        <f>VLOOKUP(A270,'Planilha Orçamentária'!$B$20:$H$430,7,FALSE)</f>
        <v>380.6</v>
      </c>
      <c r="D270" s="575">
        <f t="shared" ca="1" si="13"/>
        <v>9.9899032268047961E-5</v>
      </c>
      <c r="E270" s="575">
        <f t="shared" ca="1" si="15"/>
        <v>0.99695132406462161</v>
      </c>
      <c r="F270" s="574" t="str">
        <f t="shared" ca="1" si="14"/>
        <v>C</v>
      </c>
    </row>
    <row r="271" spans="1:6">
      <c r="A271" s="574" t="s">
        <v>847</v>
      </c>
      <c r="B271" s="572" t="s">
        <v>848</v>
      </c>
      <c r="C271" s="573">
        <f>VLOOKUP(A271,'Planilha Orçamentária'!$B$20:$H$430,7,FALSE)</f>
        <v>364.5</v>
      </c>
      <c r="D271" s="575">
        <f t="shared" ca="1" si="13"/>
        <v>9.567314046690352E-5</v>
      </c>
      <c r="E271" s="575">
        <f t="shared" ca="1" si="15"/>
        <v>0.99704699720508849</v>
      </c>
      <c r="F271" s="574" t="str">
        <f t="shared" ca="1" si="14"/>
        <v>C</v>
      </c>
    </row>
    <row r="272" spans="1:6" ht="30">
      <c r="A272" s="574" t="s">
        <v>1021</v>
      </c>
      <c r="B272" s="572" t="s">
        <v>1023</v>
      </c>
      <c r="C272" s="573">
        <f>VLOOKUP(A272,'Planilha Orçamentária'!$B$20:$H$430,7,FALSE)</f>
        <v>350.68</v>
      </c>
      <c r="D272" s="575">
        <f t="shared" ca="1" si="13"/>
        <v>9.2045697939461532E-5</v>
      </c>
      <c r="E272" s="575">
        <f t="shared" ca="1" si="15"/>
        <v>0.99713904290302791</v>
      </c>
      <c r="F272" s="574" t="str">
        <f t="shared" ca="1" si="14"/>
        <v>C</v>
      </c>
    </row>
    <row r="273" spans="1:6" ht="30">
      <c r="A273" s="574" t="s">
        <v>636</v>
      </c>
      <c r="B273" s="572" t="s">
        <v>638</v>
      </c>
      <c r="C273" s="573">
        <f>VLOOKUP(A273,'Planilha Orçamentária'!$B$20:$H$430,7,FALSE)</f>
        <v>337.9</v>
      </c>
      <c r="D273" s="575">
        <f t="shared" ca="1" si="13"/>
        <v>8.8691232273708359E-5</v>
      </c>
      <c r="E273" s="575">
        <f t="shared" ca="1" si="15"/>
        <v>0.99722773413530164</v>
      </c>
      <c r="F273" s="574" t="str">
        <f t="shared" ca="1" si="14"/>
        <v>C</v>
      </c>
    </row>
    <row r="274" spans="1:6" ht="30">
      <c r="A274" s="574" t="s">
        <v>936</v>
      </c>
      <c r="B274" s="572" t="s">
        <v>938</v>
      </c>
      <c r="C274" s="573">
        <f>VLOOKUP(A274,'Planilha Orçamentária'!$B$20:$H$430,7,FALSE)</f>
        <v>335.84</v>
      </c>
      <c r="D274" s="575">
        <f t="shared" ca="1" si="13"/>
        <v>8.8150528105363166E-5</v>
      </c>
      <c r="E274" s="575">
        <f t="shared" ca="1" si="15"/>
        <v>0.99731588466340704</v>
      </c>
      <c r="F274" s="574" t="str">
        <f t="shared" ca="1" si="14"/>
        <v>C</v>
      </c>
    </row>
    <row r="275" spans="1:6" ht="30">
      <c r="A275" s="574" t="s">
        <v>470</v>
      </c>
      <c r="B275" s="572" t="s">
        <v>472</v>
      </c>
      <c r="C275" s="573">
        <f>VLOOKUP(A275,'Planilha Orçamentária'!$B$20:$H$430,7,FALSE)</f>
        <v>332.8</v>
      </c>
      <c r="D275" s="575">
        <f t="shared" ca="1" si="13"/>
        <v>8.7352595740426594E-5</v>
      </c>
      <c r="E275" s="575">
        <f t="shared" ca="1" si="15"/>
        <v>0.99740323725914748</v>
      </c>
      <c r="F275" s="574" t="str">
        <f t="shared" ca="1" si="14"/>
        <v>C</v>
      </c>
    </row>
    <row r="276" spans="1:6">
      <c r="A276" s="574" t="s">
        <v>921</v>
      </c>
      <c r="B276" s="572" t="s">
        <v>923</v>
      </c>
      <c r="C276" s="573">
        <f>VLOOKUP(A276,'Planilha Orçamentária'!$B$20:$H$430,7,FALSE)</f>
        <v>323.52</v>
      </c>
      <c r="D276" s="575">
        <f t="shared" ca="1" si="13"/>
        <v>8.4916802205356991E-5</v>
      </c>
      <c r="E276" s="575">
        <f t="shared" ca="1" si="15"/>
        <v>0.99748815406135283</v>
      </c>
      <c r="F276" s="574" t="str">
        <f t="shared" ca="1" si="14"/>
        <v>C</v>
      </c>
    </row>
    <row r="277" spans="1:6">
      <c r="A277" s="574" t="s">
        <v>1042</v>
      </c>
      <c r="B277" s="572" t="s">
        <v>1044</v>
      </c>
      <c r="C277" s="573">
        <f>VLOOKUP(A277,'Planilha Orçamentária'!$B$20:$H$430,7,FALSE)</f>
        <v>321.98</v>
      </c>
      <c r="D277" s="575">
        <f t="shared" ca="1" si="13"/>
        <v>8.4512586467856232E-5</v>
      </c>
      <c r="E277" s="575">
        <f t="shared" ca="1" si="15"/>
        <v>0.99757266664782074</v>
      </c>
      <c r="F277" s="574" t="str">
        <f t="shared" ca="1" si="14"/>
        <v>C</v>
      </c>
    </row>
    <row r="278" spans="1:6" ht="30">
      <c r="A278" s="574" t="s">
        <v>164</v>
      </c>
      <c r="B278" s="572" t="s">
        <v>166</v>
      </c>
      <c r="C278" s="573">
        <f>VLOOKUP(A278,'Planilha Orçamentária'!$B$20:$H$430,7,FALSE)</f>
        <v>317.85000000000002</v>
      </c>
      <c r="D278" s="575">
        <f t="shared" ca="1" si="13"/>
        <v>8.3428553353649619E-5</v>
      </c>
      <c r="E278" s="575">
        <f t="shared" ca="1" si="15"/>
        <v>0.99765609520117438</v>
      </c>
      <c r="F278" s="574" t="str">
        <f t="shared" ca="1" si="14"/>
        <v>C</v>
      </c>
    </row>
    <row r="279" spans="1:6">
      <c r="A279" s="574" t="s">
        <v>434</v>
      </c>
      <c r="B279" s="572" t="s">
        <v>436</v>
      </c>
      <c r="C279" s="573">
        <f>VLOOKUP(A279,'Planilha Orçamentária'!$B$20:$H$430,7,FALSE)</f>
        <v>309.60000000000002</v>
      </c>
      <c r="D279" s="575">
        <f t="shared" ca="1" si="13"/>
        <v>8.1263111902752619E-5</v>
      </c>
      <c r="E279" s="575">
        <f t="shared" ca="1" si="15"/>
        <v>0.99773735831307708</v>
      </c>
      <c r="F279" s="574" t="str">
        <f t="shared" ca="1" si="14"/>
        <v>C</v>
      </c>
    </row>
    <row r="280" spans="1:6">
      <c r="A280" s="574" t="s">
        <v>594</v>
      </c>
      <c r="B280" s="572" t="s">
        <v>596</v>
      </c>
      <c r="C280" s="573">
        <f>VLOOKUP(A280,'Planilha Orçamentária'!$B$20:$H$430,7,FALSE)</f>
        <v>300.82</v>
      </c>
      <c r="D280" s="575">
        <f t="shared" ca="1" si="13"/>
        <v>7.8958557243494971E-5</v>
      </c>
      <c r="E280" s="575">
        <f t="shared" ca="1" si="15"/>
        <v>0.99781631687032057</v>
      </c>
      <c r="F280" s="574" t="str">
        <f t="shared" ca="1" si="14"/>
        <v>C</v>
      </c>
    </row>
    <row r="281" spans="1:6" ht="30">
      <c r="A281" s="574" t="s">
        <v>752</v>
      </c>
      <c r="B281" s="572" t="s">
        <v>754</v>
      </c>
      <c r="C281" s="573">
        <f>VLOOKUP(A281,'Planilha Orçamentária'!$B$20:$H$430,7,FALSE)</f>
        <v>289</v>
      </c>
      <c r="D281" s="575">
        <f t="shared" ca="1" si="13"/>
        <v>7.5856070219300725E-5</v>
      </c>
      <c r="E281" s="575">
        <f t="shared" ca="1" si="15"/>
        <v>0.99789217294053989</v>
      </c>
      <c r="F281" s="574" t="str">
        <f t="shared" ca="1" si="14"/>
        <v>C</v>
      </c>
    </row>
    <row r="282" spans="1:6" ht="30">
      <c r="A282" s="574" t="s">
        <v>755</v>
      </c>
      <c r="B282" s="572" t="s">
        <v>756</v>
      </c>
      <c r="C282" s="573">
        <f>VLOOKUP(A282,'Planilha Orçamentária'!$B$20:$H$430,7,FALSE)</f>
        <v>289</v>
      </c>
      <c r="D282" s="575">
        <f t="shared" ca="1" si="13"/>
        <v>7.5856070219300725E-5</v>
      </c>
      <c r="E282" s="575">
        <f t="shared" ca="1" si="15"/>
        <v>0.99796802901075921</v>
      </c>
      <c r="F282" s="574" t="str">
        <f t="shared" ca="1" si="14"/>
        <v>C</v>
      </c>
    </row>
    <row r="283" spans="1:6">
      <c r="A283" s="574" t="s">
        <v>661</v>
      </c>
      <c r="B283" s="572" t="s">
        <v>663</v>
      </c>
      <c r="C283" s="573">
        <f>VLOOKUP(A283,'Planilha Orçamentária'!$B$20:$H$430,7,FALSE)</f>
        <v>281.98</v>
      </c>
      <c r="D283" s="575">
        <f t="shared" ca="1" si="13"/>
        <v>7.4013476402901108E-5</v>
      </c>
      <c r="E283" s="575">
        <f t="shared" ca="1" si="15"/>
        <v>0.99804204248716211</v>
      </c>
      <c r="F283" s="574" t="str">
        <f t="shared" ca="1" si="14"/>
        <v>C</v>
      </c>
    </row>
    <row r="284" spans="1:6">
      <c r="A284" s="574" t="s">
        <v>974</v>
      </c>
      <c r="B284" s="572" t="s">
        <v>976</v>
      </c>
      <c r="C284" s="573">
        <f>VLOOKUP(A284,'Planilha Orçamentária'!$B$20:$H$430,7,FALSE)</f>
        <v>280.64</v>
      </c>
      <c r="D284" s="575">
        <f t="shared" ca="1" si="13"/>
        <v>7.3661756215725102E-5</v>
      </c>
      <c r="E284" s="575">
        <f t="shared" ca="1" si="15"/>
        <v>0.99811570424337781</v>
      </c>
      <c r="F284" s="574" t="str">
        <f t="shared" ca="1" si="14"/>
        <v>C</v>
      </c>
    </row>
    <row r="285" spans="1:6">
      <c r="A285" s="574" t="s">
        <v>881</v>
      </c>
      <c r="B285" s="572" t="s">
        <v>883</v>
      </c>
      <c r="C285" s="573">
        <f>VLOOKUP(A285,'Planilha Orçamentária'!$B$20:$H$430,7,FALSE)</f>
        <v>279.95</v>
      </c>
      <c r="D285" s="575">
        <f t="shared" ca="1" si="13"/>
        <v>7.3480646567104633E-5</v>
      </c>
      <c r="E285" s="575">
        <f t="shared" ca="1" si="15"/>
        <v>0.9981891848899449</v>
      </c>
      <c r="F285" s="574" t="str">
        <f t="shared" ca="1" si="14"/>
        <v>C</v>
      </c>
    </row>
    <row r="286" spans="1:6" ht="30">
      <c r="A286" s="574" t="s">
        <v>769</v>
      </c>
      <c r="B286" s="572" t="s">
        <v>771</v>
      </c>
      <c r="C286" s="573">
        <f>VLOOKUP(A286,'Planilha Orçamentária'!$B$20:$H$430,7,FALSE)</f>
        <v>276</v>
      </c>
      <c r="D286" s="575">
        <f t="shared" ca="1" si="13"/>
        <v>7.244385944819032E-5</v>
      </c>
      <c r="E286" s="575">
        <f t="shared" ca="1" si="15"/>
        <v>0.99826162874939306</v>
      </c>
      <c r="F286" s="574" t="str">
        <f t="shared" ca="1" si="14"/>
        <v>C</v>
      </c>
    </row>
    <row r="287" spans="1:6" ht="30">
      <c r="A287" s="574" t="s">
        <v>772</v>
      </c>
      <c r="B287" s="572" t="s">
        <v>773</v>
      </c>
      <c r="C287" s="573">
        <f>VLOOKUP(A287,'Planilha Orçamentária'!$B$20:$H$430,7,FALSE)</f>
        <v>276</v>
      </c>
      <c r="D287" s="575">
        <f t="shared" ca="1" si="13"/>
        <v>7.244385944819032E-5</v>
      </c>
      <c r="E287" s="575">
        <f t="shared" ca="1" si="15"/>
        <v>0.99833407260884122</v>
      </c>
      <c r="F287" s="574" t="str">
        <f t="shared" ca="1" si="14"/>
        <v>C</v>
      </c>
    </row>
    <row r="288" spans="1:6" ht="30">
      <c r="A288" s="574" t="s">
        <v>814</v>
      </c>
      <c r="B288" s="572" t="s">
        <v>650</v>
      </c>
      <c r="C288" s="573">
        <f>VLOOKUP(A288,'Planilha Orçamentária'!$B$20:$H$430,7,FALSE)</f>
        <v>267.75</v>
      </c>
      <c r="D288" s="575">
        <f t="shared" ca="1" si="13"/>
        <v>7.027841799729332E-5</v>
      </c>
      <c r="E288" s="575">
        <f t="shared" ca="1" si="15"/>
        <v>0.99840435102683855</v>
      </c>
      <c r="F288" s="574" t="str">
        <f t="shared" ca="1" si="14"/>
        <v>C</v>
      </c>
    </row>
    <row r="289" spans="1:6">
      <c r="A289" s="574" t="s">
        <v>849</v>
      </c>
      <c r="B289" s="572" t="s">
        <v>851</v>
      </c>
      <c r="C289" s="573">
        <f>VLOOKUP(A289,'Planilha Orçamentária'!$B$20:$H$430,7,FALSE)</f>
        <v>264.33</v>
      </c>
      <c r="D289" s="575">
        <f t="shared" ca="1" si="13"/>
        <v>6.9380744086739655E-5</v>
      </c>
      <c r="E289" s="575">
        <f t="shared" ca="1" si="15"/>
        <v>0.99847373177092524</v>
      </c>
      <c r="F289" s="574" t="str">
        <f t="shared" ca="1" si="14"/>
        <v>C</v>
      </c>
    </row>
    <row r="290" spans="1:6">
      <c r="A290" s="574" t="s">
        <v>963</v>
      </c>
      <c r="B290" s="572" t="s">
        <v>965</v>
      </c>
      <c r="C290" s="573">
        <f>VLOOKUP(A290,'Planilha Orçamentária'!$B$20:$H$430,7,FALSE)</f>
        <v>256.3</v>
      </c>
      <c r="D290" s="575">
        <f t="shared" ca="1" si="13"/>
        <v>6.7273047741199927E-5</v>
      </c>
      <c r="E290" s="575">
        <f t="shared" ca="1" si="15"/>
        <v>0.99854100481866648</v>
      </c>
      <c r="F290" s="574" t="str">
        <f t="shared" ca="1" si="14"/>
        <v>C</v>
      </c>
    </row>
    <row r="291" spans="1:6">
      <c r="A291" s="574" t="s">
        <v>509</v>
      </c>
      <c r="B291" s="572" t="s">
        <v>511</v>
      </c>
      <c r="C291" s="573">
        <f>VLOOKUP(A291,'Planilha Orçamentária'!$B$20:$H$430,7,FALSE)</f>
        <v>228.48</v>
      </c>
      <c r="D291" s="575">
        <f t="shared" ref="D291:D316" ca="1" si="16">C291/$C$335</f>
        <v>5.9970916691023637E-5</v>
      </c>
      <c r="E291" s="575">
        <f t="shared" ca="1" si="15"/>
        <v>0.99860097573535755</v>
      </c>
      <c r="F291" s="574" t="str">
        <f t="shared" ref="F291:F333" ca="1" si="17">IF(E291&lt;=$K$4,"A",IF(E291&lt;=$K$5,"B","C"))</f>
        <v>C</v>
      </c>
    </row>
    <row r="292" spans="1:6" ht="45">
      <c r="A292" s="574" t="s">
        <v>1009</v>
      </c>
      <c r="B292" s="572" t="s">
        <v>1011</v>
      </c>
      <c r="C292" s="573">
        <f>VLOOKUP(A292,'Planilha Orçamentária'!$B$20:$H$430,7,FALSE)</f>
        <v>221</v>
      </c>
      <c r="D292" s="575">
        <f t="shared" ca="1" si="16"/>
        <v>5.8007583108877029E-5</v>
      </c>
      <c r="E292" s="575">
        <f t="shared" ca="1" si="15"/>
        <v>0.99865898331846648</v>
      </c>
      <c r="F292" s="574" t="str">
        <f t="shared" ca="1" si="17"/>
        <v>C</v>
      </c>
    </row>
    <row r="293" spans="1:6" ht="30">
      <c r="A293" s="574" t="s">
        <v>872</v>
      </c>
      <c r="B293" s="572" t="s">
        <v>874</v>
      </c>
      <c r="C293" s="573">
        <f>VLOOKUP(A293,'Planilha Orçamentária'!$B$20:$H$430,7,FALSE)</f>
        <v>212.60000000000002</v>
      </c>
      <c r="D293" s="575">
        <f t="shared" ca="1" si="16"/>
        <v>5.5802769995236461E-5</v>
      </c>
      <c r="E293" s="575">
        <f t="shared" ca="1" si="15"/>
        <v>0.99871478608846176</v>
      </c>
      <c r="F293" s="574" t="str">
        <f t="shared" ca="1" si="17"/>
        <v>C</v>
      </c>
    </row>
    <row r="294" spans="1:6">
      <c r="A294" s="574" t="s">
        <v>532</v>
      </c>
      <c r="B294" s="572" t="s">
        <v>534</v>
      </c>
      <c r="C294" s="573">
        <f>VLOOKUP(A294,'Planilha Orçamentária'!$B$20:$H$430,7,FALSE)</f>
        <v>210.42000000000002</v>
      </c>
      <c r="D294" s="575">
        <f t="shared" ca="1" si="16"/>
        <v>5.5230568496696405E-5</v>
      </c>
      <c r="E294" s="575">
        <f t="shared" ca="1" si="15"/>
        <v>0.99877001665695841</v>
      </c>
      <c r="F294" s="574" t="str">
        <f t="shared" ca="1" si="17"/>
        <v>C</v>
      </c>
    </row>
    <row r="295" spans="1:6">
      <c r="A295" s="574" t="s">
        <v>464</v>
      </c>
      <c r="B295" s="572" t="s">
        <v>466</v>
      </c>
      <c r="C295" s="573">
        <f>VLOOKUP(A295,'Planilha Orçamentária'!$B$20:$H$430,7,FALSE)</f>
        <v>210.33</v>
      </c>
      <c r="D295" s="575">
        <f t="shared" ca="1" si="16"/>
        <v>5.5206945499050255E-5</v>
      </c>
      <c r="E295" s="575">
        <f t="shared" ca="1" si="15"/>
        <v>0.99882522360245751</v>
      </c>
      <c r="F295" s="574" t="str">
        <f t="shared" ca="1" si="17"/>
        <v>C</v>
      </c>
    </row>
    <row r="296" spans="1:6">
      <c r="A296" s="574" t="s">
        <v>679</v>
      </c>
      <c r="B296" s="572" t="s">
        <v>681</v>
      </c>
      <c r="C296" s="573">
        <f>VLOOKUP(A296,'Planilha Orçamentária'!$B$20:$H$430,7,FALSE)</f>
        <v>203.54</v>
      </c>
      <c r="D296" s="575">
        <f t="shared" ca="1" si="16"/>
        <v>5.3424721565524117E-5</v>
      </c>
      <c r="E296" s="575">
        <f t="shared" ca="1" si="15"/>
        <v>0.99887864832402307</v>
      </c>
      <c r="F296" s="574" t="str">
        <f t="shared" ca="1" si="17"/>
        <v>C</v>
      </c>
    </row>
    <row r="297" spans="1:6">
      <c r="A297" s="574" t="s">
        <v>878</v>
      </c>
      <c r="B297" s="572" t="s">
        <v>880</v>
      </c>
      <c r="C297" s="573">
        <f>VLOOKUP(A297,'Planilha Orçamentária'!$B$20:$H$430,7,FALSE)</f>
        <v>197.54</v>
      </c>
      <c r="D297" s="575">
        <f t="shared" ca="1" si="16"/>
        <v>5.184985505578085E-5</v>
      </c>
      <c r="E297" s="575">
        <f t="shared" ca="1" si="15"/>
        <v>0.99893049817907886</v>
      </c>
      <c r="F297" s="574" t="str">
        <f t="shared" ca="1" si="17"/>
        <v>C</v>
      </c>
    </row>
    <row r="298" spans="1:6">
      <c r="A298" s="574" t="s">
        <v>627</v>
      </c>
      <c r="B298" s="572" t="s">
        <v>629</v>
      </c>
      <c r="C298" s="573">
        <f>VLOOKUP(A298,'Planilha Orçamentária'!$B$20:$H$430,7,FALSE)</f>
        <v>193.16</v>
      </c>
      <c r="D298" s="575">
        <f t="shared" ca="1" si="16"/>
        <v>5.0700202503668266E-5</v>
      </c>
      <c r="E298" s="575">
        <f t="shared" ca="1" si="15"/>
        <v>0.9989811983815825</v>
      </c>
      <c r="F298" s="574" t="str">
        <f t="shared" ca="1" si="17"/>
        <v>C</v>
      </c>
    </row>
    <row r="299" spans="1:6">
      <c r="A299" s="574" t="s">
        <v>440</v>
      </c>
      <c r="B299" s="572" t="s">
        <v>442</v>
      </c>
      <c r="C299" s="573">
        <f>VLOOKUP(A299,'Planilha Orçamentária'!$B$20:$H$430,7,FALSE)</f>
        <v>186.01</v>
      </c>
      <c r="D299" s="575">
        <f t="shared" ca="1" si="16"/>
        <v>4.882348657955754E-5</v>
      </c>
      <c r="E299" s="575">
        <f t="shared" ca="1" si="15"/>
        <v>0.99903002186816203</v>
      </c>
      <c r="F299" s="574" t="str">
        <f t="shared" ca="1" si="17"/>
        <v>C</v>
      </c>
    </row>
    <row r="300" spans="1:6" ht="30">
      <c r="A300" s="574" t="s">
        <v>692</v>
      </c>
      <c r="B300" s="572" t="s">
        <v>694</v>
      </c>
      <c r="C300" s="573">
        <f>VLOOKUP(A300,'Planilha Orçamentária'!$B$20:$H$430,7,FALSE)</f>
        <v>177.66</v>
      </c>
      <c r="D300" s="575">
        <f t="shared" ca="1" si="16"/>
        <v>4.6631797353498157E-5</v>
      </c>
      <c r="E300" s="575">
        <f t="shared" ca="1" si="15"/>
        <v>0.99907665366551557</v>
      </c>
      <c r="F300" s="574" t="str">
        <f t="shared" ca="1" si="17"/>
        <v>C</v>
      </c>
    </row>
    <row r="301" spans="1:6" ht="30">
      <c r="A301" s="574" t="s">
        <v>494</v>
      </c>
      <c r="B301" s="572" t="s">
        <v>496</v>
      </c>
      <c r="C301" s="573">
        <f>VLOOKUP(A301,'Planilha Orçamentária'!$B$20:$H$430,7,FALSE)</f>
        <v>173.44</v>
      </c>
      <c r="D301" s="575">
        <f t="shared" ca="1" si="16"/>
        <v>4.5524141241645393E-5</v>
      </c>
      <c r="E301" s="575">
        <f t="shared" ca="1" si="15"/>
        <v>0.99912217780675716</v>
      </c>
      <c r="F301" s="574" t="str">
        <f t="shared" ca="1" si="17"/>
        <v>C</v>
      </c>
    </row>
    <row r="302" spans="1:6">
      <c r="A302" s="574" t="s">
        <v>838</v>
      </c>
      <c r="B302" s="572" t="s">
        <v>840</v>
      </c>
      <c r="C302" s="573">
        <f>VLOOKUP(A302,'Planilha Orçamentária'!$B$20:$H$430,7,FALSE)</f>
        <v>167.04</v>
      </c>
      <c r="D302" s="575">
        <f t="shared" ca="1" si="16"/>
        <v>4.3844283631252574E-5</v>
      </c>
      <c r="E302" s="575">
        <f t="shared" ca="1" si="15"/>
        <v>0.99916602209038841</v>
      </c>
      <c r="F302" s="574" t="str">
        <f t="shared" ca="1" si="17"/>
        <v>C</v>
      </c>
    </row>
    <row r="303" spans="1:6">
      <c r="A303" s="574" t="s">
        <v>927</v>
      </c>
      <c r="B303" s="572" t="s">
        <v>929</v>
      </c>
      <c r="C303" s="573">
        <f>VLOOKUP(A303,'Planilha Orçamentária'!$B$20:$H$430,7,FALSE)</f>
        <v>159.96</v>
      </c>
      <c r="D303" s="575">
        <f t="shared" ca="1" si="16"/>
        <v>4.1985941149755519E-5</v>
      </c>
      <c r="E303" s="575">
        <f t="shared" ca="1" si="15"/>
        <v>0.9992080080315382</v>
      </c>
      <c r="F303" s="574" t="str">
        <f t="shared" ca="1" si="17"/>
        <v>C</v>
      </c>
    </row>
    <row r="304" spans="1:6" ht="30">
      <c r="A304" s="574" t="s">
        <v>437</v>
      </c>
      <c r="B304" s="572" t="s">
        <v>439</v>
      </c>
      <c r="C304" s="573">
        <f>VLOOKUP(A304,'Planilha Orçamentária'!$B$20:$H$430,7,FALSE)</f>
        <v>157.20000000000002</v>
      </c>
      <c r="D304" s="575">
        <f t="shared" ca="1" si="16"/>
        <v>4.1261502555273618E-5</v>
      </c>
      <c r="E304" s="575">
        <f t="shared" ca="1" si="15"/>
        <v>0.99924926953409343</v>
      </c>
      <c r="F304" s="574" t="str">
        <f t="shared" ca="1" si="17"/>
        <v>C</v>
      </c>
    </row>
    <row r="305" spans="1:6" ht="30">
      <c r="A305" s="574" t="s">
        <v>829</v>
      </c>
      <c r="B305" s="572" t="s">
        <v>831</v>
      </c>
      <c r="C305" s="573">
        <f>VLOOKUP(A305,'Planilha Orçamentária'!$B$20:$H$430,7,FALSE)</f>
        <v>155.91</v>
      </c>
      <c r="D305" s="575">
        <f t="shared" ca="1" si="16"/>
        <v>4.092290625567881E-5</v>
      </c>
      <c r="E305" s="575">
        <f t="shared" ca="1" si="15"/>
        <v>0.99929019244034911</v>
      </c>
      <c r="F305" s="574" t="str">
        <f t="shared" ca="1" si="17"/>
        <v>C</v>
      </c>
    </row>
    <row r="306" spans="1:6">
      <c r="A306" s="574" t="s">
        <v>1091</v>
      </c>
      <c r="B306" s="572" t="s">
        <v>1093</v>
      </c>
      <c r="C306" s="573">
        <f>VLOOKUP(A306,'Planilha Orçamentária'!$B$20:$H$430,7,FALSE)</f>
        <v>154.12800000000001</v>
      </c>
      <c r="D306" s="575">
        <f t="shared" ca="1" si="16"/>
        <v>4.0455170902285065E-5</v>
      </c>
      <c r="E306" s="575">
        <f t="shared" ca="1" si="15"/>
        <v>0.99933064761125134</v>
      </c>
      <c r="F306" s="574" t="str">
        <f t="shared" ca="1" si="17"/>
        <v>C</v>
      </c>
    </row>
    <row r="307" spans="1:6" ht="30">
      <c r="A307" s="574" t="s">
        <v>416</v>
      </c>
      <c r="B307" s="572" t="s">
        <v>418</v>
      </c>
      <c r="C307" s="573">
        <f>VLOOKUP(A307,'Planilha Orçamentária'!$B$20:$H$430,7,FALSE)</f>
        <v>144.60000000000002</v>
      </c>
      <c r="D307" s="575">
        <f t="shared" ca="1" si="16"/>
        <v>3.7954282884812759E-5</v>
      </c>
      <c r="E307" s="575">
        <f t="shared" ca="1" si="15"/>
        <v>0.99936860189413612</v>
      </c>
      <c r="F307" s="574" t="str">
        <f t="shared" ca="1" si="17"/>
        <v>C</v>
      </c>
    </row>
    <row r="308" spans="1:6" ht="30">
      <c r="A308" s="574" t="s">
        <v>485</v>
      </c>
      <c r="B308" s="572" t="s">
        <v>487</v>
      </c>
      <c r="C308" s="573">
        <f>VLOOKUP(A308,'Planilha Orçamentária'!$B$20:$H$430,7,FALSE)</f>
        <v>143.82</v>
      </c>
      <c r="D308" s="575">
        <f t="shared" ca="1" si="16"/>
        <v>3.7749550238546127E-5</v>
      </c>
      <c r="E308" s="575">
        <f t="shared" ca="1" si="15"/>
        <v>0.99940635144437462</v>
      </c>
      <c r="F308" s="574" t="str">
        <f t="shared" ca="1" si="17"/>
        <v>C</v>
      </c>
    </row>
    <row r="309" spans="1:6" ht="30">
      <c r="A309" s="574" t="s">
        <v>1054</v>
      </c>
      <c r="B309" s="572" t="s">
        <v>1056</v>
      </c>
      <c r="C309" s="573">
        <f>VLOOKUP(A309,'Planilha Orçamentária'!$B$20:$H$430,7,FALSE)</f>
        <v>138.19</v>
      </c>
      <c r="D309" s="575">
        <f t="shared" ca="1" si="16"/>
        <v>3.6271800496903693E-5</v>
      </c>
      <c r="E309" s="575">
        <f t="shared" ca="1" si="15"/>
        <v>0.99944262324487154</v>
      </c>
      <c r="F309" s="574" t="str">
        <f t="shared" ca="1" si="17"/>
        <v>C</v>
      </c>
    </row>
    <row r="310" spans="1:6">
      <c r="A310" s="574" t="s">
        <v>930</v>
      </c>
      <c r="B310" s="572" t="s">
        <v>932</v>
      </c>
      <c r="C310" s="573">
        <f>VLOOKUP(A310,'Planilha Orçamentária'!$B$20:$H$430,7,FALSE)</f>
        <v>132.93</v>
      </c>
      <c r="D310" s="575">
        <f t="shared" ca="1" si="16"/>
        <v>3.48911675233621E-5</v>
      </c>
      <c r="E310" s="575">
        <f t="shared" ca="1" si="15"/>
        <v>0.99947751441239485</v>
      </c>
      <c r="F310" s="574" t="str">
        <f t="shared" ca="1" si="17"/>
        <v>C</v>
      </c>
    </row>
    <row r="311" spans="1:6">
      <c r="A311" s="574" t="s">
        <v>515</v>
      </c>
      <c r="B311" s="572" t="s">
        <v>517</v>
      </c>
      <c r="C311" s="573">
        <f>VLOOKUP(A311,'Planilha Orçamentária'!$B$20:$H$430,7,FALSE)</f>
        <v>130.69999999999999</v>
      </c>
      <c r="D311" s="575">
        <f t="shared" ca="1" si="16"/>
        <v>3.4305842137240846E-5</v>
      </c>
      <c r="E311" s="575">
        <f t="shared" ca="1" si="15"/>
        <v>0.99951182025453211</v>
      </c>
      <c r="F311" s="574" t="str">
        <f t="shared" ca="1" si="17"/>
        <v>C</v>
      </c>
    </row>
    <row r="312" spans="1:6">
      <c r="A312" s="574" t="s">
        <v>682</v>
      </c>
      <c r="B312" s="572" t="s">
        <v>684</v>
      </c>
      <c r="C312" s="573">
        <f>VLOOKUP(A312,'Planilha Orçamentária'!$B$20:$H$430,7,FALSE)</f>
        <v>130.55000000000001</v>
      </c>
      <c r="D312" s="575">
        <f t="shared" ca="1" si="16"/>
        <v>3.4266470474497272E-5</v>
      </c>
      <c r="E312" s="575">
        <f t="shared" ref="E312:E333" ca="1" si="18">D312+E311</f>
        <v>0.99954608672500656</v>
      </c>
      <c r="F312" s="574" t="str">
        <f t="shared" ca="1" si="17"/>
        <v>C</v>
      </c>
    </row>
    <row r="313" spans="1:6" ht="30">
      <c r="A313" s="574" t="s">
        <v>422</v>
      </c>
      <c r="B313" s="572" t="s">
        <v>424</v>
      </c>
      <c r="C313" s="573">
        <f>VLOOKUP(A313,'Planilha Orçamentária'!$B$20:$H$430,7,FALSE)</f>
        <v>125.25</v>
      </c>
      <c r="D313" s="575">
        <f t="shared" ca="1" si="16"/>
        <v>3.2875338390890713E-5</v>
      </c>
      <c r="E313" s="575">
        <f t="shared" ca="1" si="18"/>
        <v>0.99957896206339747</v>
      </c>
      <c r="F313" s="574" t="str">
        <f t="shared" ca="1" si="17"/>
        <v>C</v>
      </c>
    </row>
    <row r="314" spans="1:6" ht="30">
      <c r="A314" s="574" t="s">
        <v>476</v>
      </c>
      <c r="B314" s="572" t="s">
        <v>478</v>
      </c>
      <c r="C314" s="573">
        <f>VLOOKUP(A314,'Planilha Orçamentária'!$B$20:$H$430,7,FALSE)</f>
        <v>122.10000000000001</v>
      </c>
      <c r="D314" s="575">
        <f t="shared" ca="1" si="16"/>
        <v>3.2048533473275499E-5</v>
      </c>
      <c r="E314" s="575">
        <f t="shared" ca="1" si="18"/>
        <v>0.99961101059687074</v>
      </c>
      <c r="F314" s="574" t="str">
        <f t="shared" ca="1" si="17"/>
        <v>C</v>
      </c>
    </row>
    <row r="315" spans="1:6">
      <c r="A315" s="574" t="s">
        <v>912</v>
      </c>
      <c r="B315" s="572" t="s">
        <v>914</v>
      </c>
      <c r="C315" s="573">
        <f>VLOOKUP(A315,'Planilha Orçamentária'!$B$20:$H$430,7,FALSE)</f>
        <v>121.2</v>
      </c>
      <c r="D315" s="575">
        <f t="shared" ca="1" si="16"/>
        <v>3.1812303496814011E-5</v>
      </c>
      <c r="E315" s="575">
        <f t="shared" ca="1" si="18"/>
        <v>0.99964282290036754</v>
      </c>
      <c r="F315" s="574" t="str">
        <f t="shared" ca="1" si="17"/>
        <v>C</v>
      </c>
    </row>
    <row r="316" spans="1:6">
      <c r="A316" s="574" t="s">
        <v>1033</v>
      </c>
      <c r="B316" s="572" t="s">
        <v>1035</v>
      </c>
      <c r="C316" s="573">
        <f>VLOOKUP(A316,'Planilha Orçamentária'!$B$20:$H$430,7,FALSE)</f>
        <v>112.55999999999999</v>
      </c>
      <c r="D316" s="575">
        <f t="shared" ca="1" si="16"/>
        <v>2.9544495722783701E-5</v>
      </c>
      <c r="E316" s="575">
        <f t="shared" ca="1" si="18"/>
        <v>0.99967236739609033</v>
      </c>
      <c r="F316" s="574" t="str">
        <f t="shared" ca="1" si="17"/>
        <v>C</v>
      </c>
    </row>
    <row r="317" spans="1:6">
      <c r="A317" s="574" t="s">
        <v>915</v>
      </c>
      <c r="B317" s="572" t="s">
        <v>917</v>
      </c>
      <c r="C317" s="573">
        <f>VLOOKUP(A317,'Planilha Orçamentária'!$B$20:$H$430,7,FALSE)</f>
        <v>102.22</v>
      </c>
      <c r="D317" s="575">
        <f t="shared" ref="D317:D333" ca="1" si="19">C317/$C$335</f>
        <v>2.6830475770992806E-5</v>
      </c>
      <c r="E317" s="575">
        <f t="shared" ca="1" si="18"/>
        <v>0.99969919787186134</v>
      </c>
      <c r="F317" s="574" t="str">
        <f t="shared" ca="1" si="17"/>
        <v>C</v>
      </c>
    </row>
    <row r="318" spans="1:6">
      <c r="A318" s="574" t="s">
        <v>860</v>
      </c>
      <c r="B318" s="572" t="s">
        <v>862</v>
      </c>
      <c r="C318" s="573">
        <f>VLOOKUP(A318,'Planilha Orçamentária'!$B$20:$H$430,7,FALSE)</f>
        <v>101.10000000000001</v>
      </c>
      <c r="D318" s="575">
        <f t="shared" ca="1" si="19"/>
        <v>2.6536500689174066E-5</v>
      </c>
      <c r="E318" s="575">
        <f t="shared" ca="1" si="18"/>
        <v>0.99972573437255052</v>
      </c>
      <c r="F318" s="574" t="str">
        <f t="shared" ca="1" si="17"/>
        <v>C</v>
      </c>
    </row>
    <row r="319" spans="1:6">
      <c r="A319" s="574" t="s">
        <v>843</v>
      </c>
      <c r="B319" s="572" t="s">
        <v>825</v>
      </c>
      <c r="C319" s="573">
        <f>VLOOKUP(A319,'Planilha Orçamentária'!$B$20:$H$430,7,FALSE)</f>
        <v>99.86</v>
      </c>
      <c r="D319" s="575">
        <f t="shared" ca="1" si="19"/>
        <v>2.6211028277160453E-5</v>
      </c>
      <c r="E319" s="575">
        <f t="shared" ca="1" si="18"/>
        <v>0.99975194540082768</v>
      </c>
      <c r="F319" s="574" t="str">
        <f t="shared" ca="1" si="17"/>
        <v>C</v>
      </c>
    </row>
    <row r="320" spans="1:6" ht="30">
      <c r="A320" s="574" t="s">
        <v>503</v>
      </c>
      <c r="B320" s="572" t="s">
        <v>505</v>
      </c>
      <c r="C320" s="573">
        <f>VLOOKUP(A320,'Planilha Orçamentária'!$B$20:$H$430,7,FALSE)</f>
        <v>98.820000000000007</v>
      </c>
      <c r="D320" s="575">
        <f t="shared" ca="1" si="19"/>
        <v>2.5938051415471623E-5</v>
      </c>
      <c r="E320" s="575">
        <f t="shared" ca="1" si="18"/>
        <v>0.99977788345224317</v>
      </c>
      <c r="F320" s="574" t="str">
        <f t="shared" ca="1" si="17"/>
        <v>C</v>
      </c>
    </row>
    <row r="321" spans="1:6">
      <c r="A321" s="574" t="s">
        <v>343</v>
      </c>
      <c r="B321" s="572" t="s">
        <v>345</v>
      </c>
      <c r="C321" s="573">
        <f>VLOOKUP(A321,'Planilha Orçamentária'!$B$20:$H$430,7,FALSE)</f>
        <v>94.77000000000001</v>
      </c>
      <c r="D321" s="575">
        <f t="shared" ca="1" si="19"/>
        <v>2.4875016521394917E-5</v>
      </c>
      <c r="E321" s="575">
        <f t="shared" ca="1" si="18"/>
        <v>0.99980275846876454</v>
      </c>
      <c r="F321" s="574" t="str">
        <f t="shared" ca="1" si="17"/>
        <v>C</v>
      </c>
    </row>
    <row r="322" spans="1:6" ht="30">
      <c r="A322" s="574" t="s">
        <v>473</v>
      </c>
      <c r="B322" s="572" t="s">
        <v>475</v>
      </c>
      <c r="C322" s="573">
        <f>VLOOKUP(A322,'Planilha Orçamentária'!$B$20:$H$430,7,FALSE)</f>
        <v>90.960000000000008</v>
      </c>
      <c r="D322" s="575">
        <f t="shared" ca="1" si="19"/>
        <v>2.3874976287707943E-5</v>
      </c>
      <c r="E322" s="575">
        <f t="shared" ca="1" si="18"/>
        <v>0.99982663344505229</v>
      </c>
      <c r="F322" s="574" t="str">
        <f t="shared" ca="1" si="17"/>
        <v>C</v>
      </c>
    </row>
    <row r="323" spans="1:6">
      <c r="A323" s="574" t="s">
        <v>715</v>
      </c>
      <c r="B323" s="572" t="s">
        <v>717</v>
      </c>
      <c r="C323" s="573">
        <f>VLOOKUP(A323,'Planilha Orçamentária'!$B$20:$H$430,7,FALSE)</f>
        <v>86.300000000000011</v>
      </c>
      <c r="D323" s="575">
        <f t="shared" ca="1" si="19"/>
        <v>2.2651829965140672E-5</v>
      </c>
      <c r="E323" s="575">
        <f t="shared" ca="1" si="18"/>
        <v>0.99984928527501749</v>
      </c>
      <c r="F323" s="574" t="str">
        <f t="shared" ca="1" si="17"/>
        <v>C</v>
      </c>
    </row>
    <row r="324" spans="1:6">
      <c r="A324" s="574" t="s">
        <v>918</v>
      </c>
      <c r="B324" s="572" t="s">
        <v>920</v>
      </c>
      <c r="C324" s="573">
        <f>VLOOKUP(A324,'Planilha Orçamentária'!$B$20:$H$430,7,FALSE)</f>
        <v>80.06</v>
      </c>
      <c r="D324" s="575">
        <f t="shared" ca="1" si="19"/>
        <v>2.101396879500767E-5</v>
      </c>
      <c r="E324" s="575">
        <f t="shared" ca="1" si="18"/>
        <v>0.99987029924381254</v>
      </c>
      <c r="F324" s="574" t="str">
        <f t="shared" ca="1" si="17"/>
        <v>C</v>
      </c>
    </row>
    <row r="325" spans="1:6">
      <c r="A325" s="574" t="s">
        <v>698</v>
      </c>
      <c r="B325" s="572" t="s">
        <v>700</v>
      </c>
      <c r="C325" s="573">
        <f>VLOOKUP(A325,'Planilha Orçamentária'!$B$20:$H$430,7,FALSE)</f>
        <v>74.650000000000006</v>
      </c>
      <c r="D325" s="575">
        <f t="shared" ca="1" si="19"/>
        <v>1.9593964158722493E-5</v>
      </c>
      <c r="E325" s="575">
        <f t="shared" ca="1" si="18"/>
        <v>0.99988989320797128</v>
      </c>
      <c r="F325" s="574" t="str">
        <f t="shared" ca="1" si="17"/>
        <v>C</v>
      </c>
    </row>
    <row r="326" spans="1:6">
      <c r="A326" s="574" t="s">
        <v>844</v>
      </c>
      <c r="B326" s="572" t="s">
        <v>846</v>
      </c>
      <c r="C326" s="573">
        <f>VLOOKUP(A326,'Planilha Orçamentária'!$B$20:$H$430,7,FALSE)</f>
        <v>69.099999999999994</v>
      </c>
      <c r="D326" s="575">
        <f t="shared" ca="1" si="19"/>
        <v>1.8137212637209967E-5</v>
      </c>
      <c r="E326" s="575">
        <f t="shared" ca="1" si="18"/>
        <v>0.9999080304206085</v>
      </c>
      <c r="F326" s="574" t="str">
        <f t="shared" ca="1" si="17"/>
        <v>C</v>
      </c>
    </row>
    <row r="327" spans="1:6" ht="30">
      <c r="A327" s="574" t="s">
        <v>506</v>
      </c>
      <c r="B327" s="572" t="s">
        <v>508</v>
      </c>
      <c r="C327" s="573">
        <f>VLOOKUP(A327,'Planilha Orçamentária'!$B$20:$H$430,7,FALSE)</f>
        <v>68.34</v>
      </c>
      <c r="D327" s="575">
        <f t="shared" ca="1" si="19"/>
        <v>1.793772954597582E-5</v>
      </c>
      <c r="E327" s="575">
        <f t="shared" ca="1" si="18"/>
        <v>0.99992596815015444</v>
      </c>
      <c r="F327" s="574" t="str">
        <f t="shared" ca="1" si="17"/>
        <v>C</v>
      </c>
    </row>
    <row r="328" spans="1:6">
      <c r="A328" s="574" t="s">
        <v>467</v>
      </c>
      <c r="B328" s="572" t="s">
        <v>469</v>
      </c>
      <c r="C328" s="573">
        <f>VLOOKUP(A328,'Planilha Orçamentária'!$B$20:$H$430,7,FALSE)</f>
        <v>66.22</v>
      </c>
      <c r="D328" s="575">
        <f t="shared" ca="1" si="19"/>
        <v>1.7381276712533199E-5</v>
      </c>
      <c r="E328" s="575">
        <f t="shared" ca="1" si="18"/>
        <v>0.99994334942686702</v>
      </c>
      <c r="F328" s="574" t="str">
        <f t="shared" ca="1" si="17"/>
        <v>C</v>
      </c>
    </row>
    <row r="329" spans="1:6" ht="30">
      <c r="A329" s="574" t="s">
        <v>419</v>
      </c>
      <c r="B329" s="572" t="s">
        <v>421</v>
      </c>
      <c r="C329" s="573">
        <f>VLOOKUP(A329,'Planilha Orçamentária'!$B$20:$H$430,7,FALSE)</f>
        <v>61.499999999999993</v>
      </c>
      <c r="D329" s="575">
        <f t="shared" ca="1" si="19"/>
        <v>1.6142381724868493E-5</v>
      </c>
      <c r="E329" s="575">
        <f t="shared" ca="1" si="18"/>
        <v>0.99995949180859189</v>
      </c>
      <c r="F329" s="574" t="str">
        <f t="shared" ca="1" si="17"/>
        <v>C</v>
      </c>
    </row>
    <row r="330" spans="1:6">
      <c r="A330" s="574" t="s">
        <v>1048</v>
      </c>
      <c r="B330" s="572" t="s">
        <v>1050</v>
      </c>
      <c r="C330" s="573">
        <f>VLOOKUP(A330,'Planilha Orçamentária'!$B$20:$H$430,7,FALSE)</f>
        <v>50.7</v>
      </c>
      <c r="D330" s="575">
        <f t="shared" ca="1" si="19"/>
        <v>1.3307622007330614E-5</v>
      </c>
      <c r="E330" s="575">
        <f t="shared" ca="1" si="18"/>
        <v>0.99997279943059925</v>
      </c>
      <c r="F330" s="574" t="str">
        <f t="shared" ca="1" si="17"/>
        <v>C</v>
      </c>
    </row>
    <row r="331" spans="1:6">
      <c r="A331" s="574" t="s">
        <v>875</v>
      </c>
      <c r="B331" s="572" t="s">
        <v>877</v>
      </c>
      <c r="C331" s="573">
        <f>VLOOKUP(A331,'Planilha Orçamentária'!$B$20:$H$430,7,FALSE)</f>
        <v>42.52</v>
      </c>
      <c r="D331" s="575">
        <f t="shared" ca="1" si="19"/>
        <v>1.1160553999047292E-5</v>
      </c>
      <c r="E331" s="575">
        <f t="shared" ca="1" si="18"/>
        <v>0.99998395998459833</v>
      </c>
      <c r="F331" s="574" t="str">
        <f t="shared" ca="1" si="17"/>
        <v>C</v>
      </c>
    </row>
    <row r="332" spans="1:6">
      <c r="A332" s="574" t="s">
        <v>942</v>
      </c>
      <c r="B332" s="572" t="s">
        <v>944</v>
      </c>
      <c r="C332" s="573">
        <f>VLOOKUP(A332,'Planilha Orçamentária'!$B$20:$H$430,7,FALSE)</f>
        <v>42</v>
      </c>
      <c r="D332" s="575">
        <f t="shared" ca="1" si="19"/>
        <v>1.1024065568202875E-5</v>
      </c>
      <c r="E332" s="575">
        <f t="shared" ca="1" si="18"/>
        <v>0.99999498405016651</v>
      </c>
      <c r="F332" s="574" t="str">
        <f t="shared" ca="1" si="17"/>
        <v>C</v>
      </c>
    </row>
    <row r="333" spans="1:6" ht="30">
      <c r="A333" s="574" t="s">
        <v>869</v>
      </c>
      <c r="B333" s="572" t="s">
        <v>871</v>
      </c>
      <c r="C333" s="573">
        <f>VLOOKUP(A333,'Planilha Orçamentária'!$B$20:$H$430,7,FALSE)</f>
        <v>19.11</v>
      </c>
      <c r="D333" s="575">
        <f t="shared" ca="1" si="19"/>
        <v>5.0159498335323081E-6</v>
      </c>
      <c r="E333" s="575">
        <f t="shared" ca="1" si="18"/>
        <v>1</v>
      </c>
      <c r="F333" s="574" t="str">
        <f t="shared" ca="1" si="17"/>
        <v>C</v>
      </c>
    </row>
    <row r="335" spans="1:6">
      <c r="B335" s="572" t="s">
        <v>1448</v>
      </c>
      <c r="C335" s="573">
        <f ca="1">SUM(C4:C333)</f>
        <v>3809846.7158198128</v>
      </c>
    </row>
  </sheetData>
  <sortState ref="A3:F352">
    <sortCondition descending="1" ref="C353"/>
  </sortState>
  <conditionalFormatting sqref="F4:F333">
    <cfRule type="cellIs" dxfId="2" priority="1" operator="equal">
      <formula>"C"</formula>
    </cfRule>
    <cfRule type="cellIs" dxfId="1" priority="2" operator="equal">
      <formula>"B"</formula>
    </cfRule>
    <cfRule type="cellIs" dxfId="0" priority="3" operator="equal">
      <formula>"A"</formula>
    </cfRule>
  </conditionalFormatting>
  <pageMargins left="0.75" right="0.75" top="1" bottom="1" header="0.5" footer="0.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MK97"/>
  <sheetViews>
    <sheetView showGridLines="0" view="pageBreakPreview" topLeftCell="A46" zoomScale="60" zoomScaleNormal="90" workbookViewId="0">
      <selection activeCell="D90" sqref="D90"/>
    </sheetView>
  </sheetViews>
  <sheetFormatPr defaultColWidth="9" defaultRowHeight="15"/>
  <cols>
    <col min="1" max="1" width="6.28515625" style="1" customWidth="1"/>
    <col min="2" max="2" width="16" style="1" customWidth="1"/>
    <col min="3" max="3" width="28.85546875" style="1" customWidth="1"/>
    <col min="4" max="4" width="17.85546875" style="1" customWidth="1"/>
    <col min="5" max="5" width="17" style="1" customWidth="1"/>
    <col min="6" max="6" width="15" style="1" customWidth="1"/>
    <col min="7" max="7" width="18.85546875" style="272" customWidth="1"/>
    <col min="8" max="8" width="16.85546875" style="272" customWidth="1"/>
    <col min="9" max="9" width="11.85546875" style="1" customWidth="1"/>
    <col min="10" max="10" width="13.5703125" style="1" customWidth="1"/>
    <col min="11" max="11" width="13.28515625" style="1" customWidth="1"/>
    <col min="12" max="12" width="11.5703125" style="1" customWidth="1"/>
    <col min="13" max="13" width="12" style="1" customWidth="1"/>
    <col min="14" max="14" width="12.42578125" style="1" customWidth="1"/>
    <col min="15" max="15" width="10.7109375" style="1" customWidth="1"/>
    <col min="16" max="16" width="11.7109375" style="1" customWidth="1"/>
    <col min="17" max="17" width="10.42578125" style="1" customWidth="1"/>
    <col min="18" max="18" width="19.42578125" style="1" customWidth="1"/>
    <col min="19" max="19" width="13.7109375" style="1" customWidth="1"/>
    <col min="20" max="1025" width="9.140625" style="1" customWidth="1"/>
  </cols>
  <sheetData>
    <row r="1" spans="1:18">
      <c r="A1" s="1" t="s">
        <v>1449</v>
      </c>
      <c r="B1" s="33" t="s">
        <v>1450</v>
      </c>
      <c r="C1" s="89">
        <v>4.2</v>
      </c>
      <c r="D1" s="1">
        <v>2</v>
      </c>
      <c r="E1" s="1">
        <v>2.1</v>
      </c>
      <c r="I1" s="70" t="s">
        <v>1451</v>
      </c>
      <c r="J1" s="89">
        <v>0.6</v>
      </c>
      <c r="K1" s="1">
        <v>1</v>
      </c>
      <c r="L1" s="1">
        <v>0.6</v>
      </c>
      <c r="N1" s="1" t="s">
        <v>1452</v>
      </c>
    </row>
    <row r="2" spans="1:18">
      <c r="B2" s="33"/>
      <c r="C2" s="89"/>
      <c r="I2" s="70" t="s">
        <v>1453</v>
      </c>
      <c r="J2" s="89">
        <v>0.8</v>
      </c>
      <c r="K2" s="1">
        <v>1</v>
      </c>
      <c r="L2" s="1">
        <v>0.8</v>
      </c>
      <c r="O2" s="1" t="s">
        <v>1454</v>
      </c>
      <c r="P2" s="89">
        <v>1.68</v>
      </c>
      <c r="Q2" s="1">
        <v>0.8</v>
      </c>
      <c r="R2" s="1">
        <v>2.1</v>
      </c>
    </row>
    <row r="3" spans="1:18">
      <c r="B3" s="33"/>
      <c r="C3" s="89"/>
      <c r="I3" s="70" t="s">
        <v>1455</v>
      </c>
      <c r="J3" s="89">
        <v>1.2</v>
      </c>
      <c r="K3" s="1">
        <v>1.5</v>
      </c>
      <c r="L3" s="1">
        <v>0.8</v>
      </c>
      <c r="O3" s="1" t="s">
        <v>1456</v>
      </c>
      <c r="P3" s="89">
        <f>0.9*2.1</f>
        <v>1.8900000000000001</v>
      </c>
      <c r="Q3" s="1">
        <v>0.9</v>
      </c>
      <c r="R3" s="1">
        <v>2.1</v>
      </c>
    </row>
    <row r="4" spans="1:18">
      <c r="B4" s="33"/>
      <c r="C4" s="89"/>
      <c r="I4" s="70" t="s">
        <v>1457</v>
      </c>
      <c r="J4" s="89">
        <v>1.8</v>
      </c>
      <c r="K4" s="1">
        <v>1.5</v>
      </c>
      <c r="L4" s="1">
        <v>1.2</v>
      </c>
      <c r="O4" s="1" t="s">
        <v>1458</v>
      </c>
      <c r="P4" s="89">
        <v>1.89</v>
      </c>
      <c r="Q4" s="1">
        <v>0.9</v>
      </c>
      <c r="R4" s="1">
        <v>2.1</v>
      </c>
    </row>
    <row r="5" spans="1:18">
      <c r="B5" s="33"/>
      <c r="C5" s="89"/>
      <c r="I5" s="70" t="s">
        <v>1459</v>
      </c>
      <c r="J5" s="89">
        <v>2.31</v>
      </c>
      <c r="K5" s="1">
        <v>1.4</v>
      </c>
      <c r="L5" s="1">
        <v>1.65</v>
      </c>
      <c r="O5" s="1" t="s">
        <v>1460</v>
      </c>
      <c r="P5" s="89">
        <v>1.68</v>
      </c>
      <c r="Q5" s="1">
        <v>0.8</v>
      </c>
      <c r="R5" s="1">
        <v>2.1</v>
      </c>
    </row>
    <row r="6" spans="1:18">
      <c r="B6" s="33" t="s">
        <v>1461</v>
      </c>
      <c r="C6" s="89">
        <f>1.5*2.1</f>
        <v>3.1500000000000004</v>
      </c>
      <c r="D6" s="1">
        <v>1.5</v>
      </c>
      <c r="E6" s="1">
        <v>2.1</v>
      </c>
      <c r="I6" s="70"/>
      <c r="J6" s="89"/>
      <c r="O6" s="1" t="s">
        <v>1462</v>
      </c>
      <c r="P6" s="89">
        <f>3*3</f>
        <v>9</v>
      </c>
      <c r="Q6" s="1">
        <v>3</v>
      </c>
      <c r="R6" s="1">
        <v>3</v>
      </c>
    </row>
    <row r="7" spans="1:18">
      <c r="I7" s="70" t="s">
        <v>1463</v>
      </c>
      <c r="J7" s="89">
        <v>1.2</v>
      </c>
      <c r="K7" s="1">
        <v>2</v>
      </c>
      <c r="L7" s="1">
        <v>0.6</v>
      </c>
      <c r="O7" s="1" t="s">
        <v>1464</v>
      </c>
      <c r="P7" s="89">
        <f>3.5*2.5</f>
        <v>8.75</v>
      </c>
      <c r="Q7" s="1">
        <v>3.5</v>
      </c>
      <c r="R7" s="1">
        <v>2.5</v>
      </c>
    </row>
    <row r="8" spans="1:18">
      <c r="I8" s="70" t="s">
        <v>1465</v>
      </c>
      <c r="J8" s="89">
        <v>2.4</v>
      </c>
      <c r="K8" s="1">
        <v>2</v>
      </c>
      <c r="L8" s="1">
        <v>1.2</v>
      </c>
      <c r="O8" s="1" t="s">
        <v>1466</v>
      </c>
      <c r="P8" s="89">
        <f>4*2.2</f>
        <v>8.8000000000000007</v>
      </c>
      <c r="Q8" s="1">
        <v>4</v>
      </c>
      <c r="R8" s="1">
        <v>2.2000000000000002</v>
      </c>
    </row>
    <row r="9" spans="1:18">
      <c r="I9" s="70" t="s">
        <v>1467</v>
      </c>
      <c r="J9" s="89">
        <f>2*1</f>
        <v>2</v>
      </c>
      <c r="K9" s="1">
        <v>2</v>
      </c>
      <c r="L9" s="1">
        <v>1</v>
      </c>
      <c r="O9" s="1" t="s">
        <v>1468</v>
      </c>
      <c r="P9" s="89">
        <f>4.7*2.5</f>
        <v>11.75</v>
      </c>
      <c r="Q9" s="1">
        <v>4.7</v>
      </c>
      <c r="R9" s="1">
        <v>2.5</v>
      </c>
    </row>
    <row r="10" spans="1:18">
      <c r="I10" s="70" t="s">
        <v>1469</v>
      </c>
      <c r="J10" s="89">
        <f>2*1.65</f>
        <v>3.3</v>
      </c>
      <c r="K10" s="1">
        <v>2</v>
      </c>
      <c r="L10" s="1">
        <v>1.65</v>
      </c>
    </row>
    <row r="11" spans="1:18">
      <c r="I11" s="70" t="s">
        <v>1470</v>
      </c>
      <c r="J11" s="89">
        <f>2.5*0.9</f>
        <v>2.25</v>
      </c>
      <c r="K11" s="1">
        <v>2.5</v>
      </c>
      <c r="L11" s="1">
        <v>0.9</v>
      </c>
    </row>
    <row r="12" spans="1:18">
      <c r="I12" s="70" t="s">
        <v>1471</v>
      </c>
      <c r="J12" s="89">
        <f>2.5*1.2</f>
        <v>3</v>
      </c>
      <c r="K12" s="1">
        <v>2.5</v>
      </c>
      <c r="L12" s="1">
        <v>1.2</v>
      </c>
    </row>
    <row r="13" spans="1:18">
      <c r="I13" s="70" t="s">
        <v>1472</v>
      </c>
      <c r="J13" s="89">
        <f>3*1.2</f>
        <v>3.5999999999999996</v>
      </c>
      <c r="K13" s="1">
        <v>3</v>
      </c>
      <c r="L13" s="1">
        <v>1.2</v>
      </c>
    </row>
    <row r="14" spans="1:18">
      <c r="D14" s="40"/>
      <c r="F14" s="41"/>
      <c r="G14" s="41"/>
      <c r="L14" s="64"/>
    </row>
    <row r="15" spans="1:18" s="1" customFormat="1">
      <c r="D15" s="2"/>
      <c r="F15" s="3"/>
      <c r="G15" s="3"/>
      <c r="L15" s="35"/>
    </row>
    <row r="16" spans="1:18" ht="18.75">
      <c r="B16" s="5"/>
      <c r="C16" s="11"/>
      <c r="D16" s="12"/>
      <c r="E16" s="5"/>
      <c r="G16" s="5"/>
      <c r="H16" s="13"/>
      <c r="K16" s="13"/>
      <c r="M16" s="35"/>
    </row>
    <row r="17" spans="2:19" ht="31.5">
      <c r="B17" s="4" t="s">
        <v>1473</v>
      </c>
      <c r="G17" s="3"/>
      <c r="H17" s="13"/>
      <c r="K17" s="13"/>
      <c r="M17" s="35"/>
    </row>
    <row r="18" spans="2:19" ht="18.75">
      <c r="B18" s="5"/>
      <c r="C18" s="11"/>
      <c r="D18" s="13"/>
      <c r="E18" s="5"/>
      <c r="F18" s="13"/>
      <c r="G18" s="135"/>
      <c r="I18" s="5"/>
      <c r="J18" s="13"/>
      <c r="K18" s="13"/>
      <c r="L18" s="13"/>
    </row>
    <row r="19" spans="2:19" ht="18" customHeight="1">
      <c r="B19" s="126" t="s">
        <v>1473</v>
      </c>
      <c r="C19" s="126"/>
      <c r="P19" s="201"/>
      <c r="Q19" s="194"/>
      <c r="R19" s="201"/>
      <c r="S19" s="194"/>
    </row>
    <row r="20" spans="2:19" ht="18" customHeight="1">
      <c r="D20" s="13"/>
      <c r="E20" s="5"/>
      <c r="F20" s="13"/>
      <c r="G20" s="135"/>
      <c r="P20" s="201"/>
      <c r="Q20" s="194"/>
      <c r="R20" s="201"/>
      <c r="S20" s="194"/>
    </row>
    <row r="21" spans="2:19" ht="24.75" customHeight="1">
      <c r="B21" s="509"/>
      <c r="C21" s="210"/>
      <c r="D21" s="139" t="s">
        <v>1474</v>
      </c>
      <c r="E21" s="139"/>
      <c r="F21" s="210"/>
      <c r="G21" s="509"/>
      <c r="H21" s="509"/>
      <c r="I21" s="509"/>
      <c r="J21" s="513"/>
      <c r="K21" s="514"/>
      <c r="L21" s="223"/>
      <c r="M21" s="140"/>
      <c r="N21" s="222" t="s">
        <v>1475</v>
      </c>
      <c r="O21" s="140"/>
      <c r="P21" s="140"/>
      <c r="Q21" s="140"/>
      <c r="R21" s="531"/>
      <c r="S21" s="531"/>
    </row>
    <row r="22" spans="2:19" ht="18.75">
      <c r="B22" s="142" t="s">
        <v>1437</v>
      </c>
      <c r="C22" s="213"/>
      <c r="D22" s="213"/>
      <c r="E22" s="214" t="s">
        <v>1476</v>
      </c>
      <c r="F22" s="213"/>
      <c r="G22" s="510"/>
      <c r="H22" s="511" t="s">
        <v>1477</v>
      </c>
      <c r="I22" s="515"/>
      <c r="J22" s="516"/>
      <c r="K22" s="517"/>
      <c r="L22" s="516"/>
      <c r="M22" s="516" t="s">
        <v>1478</v>
      </c>
      <c r="N22" s="517"/>
      <c r="O22" s="517"/>
      <c r="P22" s="518"/>
      <c r="Q22" s="518"/>
      <c r="R22" s="532" t="s">
        <v>1479</v>
      </c>
      <c r="S22" s="242"/>
    </row>
    <row r="23" spans="2:19" s="124" customFormat="1" ht="41.25" customHeight="1">
      <c r="B23" s="143" t="s">
        <v>1480</v>
      </c>
      <c r="C23" s="143" t="s">
        <v>1481</v>
      </c>
      <c r="D23" s="143" t="s">
        <v>1482</v>
      </c>
      <c r="E23" s="512" t="s">
        <v>1483</v>
      </c>
      <c r="F23" s="512" t="s">
        <v>1484</v>
      </c>
      <c r="G23" s="512" t="s">
        <v>1485</v>
      </c>
      <c r="H23" s="512" t="s">
        <v>1486</v>
      </c>
      <c r="I23" s="512" t="s">
        <v>1487</v>
      </c>
      <c r="J23" s="109" t="s">
        <v>1488</v>
      </c>
      <c r="K23" s="109" t="s">
        <v>1483</v>
      </c>
      <c r="L23" s="109" t="s">
        <v>1489</v>
      </c>
      <c r="M23" s="109" t="s">
        <v>1483</v>
      </c>
      <c r="N23" s="109" t="s">
        <v>1490</v>
      </c>
      <c r="O23" s="109" t="s">
        <v>1483</v>
      </c>
      <c r="P23" s="109" t="s">
        <v>1491</v>
      </c>
      <c r="Q23" s="109" t="s">
        <v>1483</v>
      </c>
      <c r="R23" s="533" t="s">
        <v>1492</v>
      </c>
      <c r="S23" s="533" t="s">
        <v>1483</v>
      </c>
    </row>
    <row r="24" spans="2:19" ht="18" customHeight="1">
      <c r="B24" s="94" t="s">
        <v>1493</v>
      </c>
      <c r="C24" s="113" t="s">
        <v>1494</v>
      </c>
      <c r="D24" s="218">
        <v>1</v>
      </c>
      <c r="E24" s="99">
        <v>40.159999999999997</v>
      </c>
      <c r="F24" s="99">
        <v>33.39</v>
      </c>
      <c r="G24" s="99">
        <v>2.8</v>
      </c>
      <c r="H24" s="97">
        <v>52.636000000000003</v>
      </c>
      <c r="I24" s="229"/>
      <c r="J24" s="72" t="s">
        <v>1495</v>
      </c>
      <c r="K24" s="519">
        <f t="shared" ref="K24:K55" si="0">IF(J24="Sim",(F24*G24-H24)*D24," ")</f>
        <v>40.855999999999987</v>
      </c>
      <c r="L24" s="520" t="s">
        <v>1495</v>
      </c>
      <c r="M24" s="521">
        <v>40.856000000000002</v>
      </c>
      <c r="N24" s="520"/>
      <c r="O24" s="522" t="str">
        <f t="shared" ref="O24:O55" si="1">IF(N24="Sim",(F24*G24-H24)*D24," ")</f>
        <v xml:space="preserve"> </v>
      </c>
      <c r="P24" s="72"/>
      <c r="Q24" s="534" t="str">
        <f t="shared" ref="Q24:Q66" si="2">IF(P24="Sim",(F24*G24-H24)*D24," ")</f>
        <v xml:space="preserve"> </v>
      </c>
      <c r="R24" s="535" t="s">
        <v>1496</v>
      </c>
      <c r="S24" s="536">
        <f t="shared" ref="S24:S55" si="3">(E24-I24)*D24</f>
        <v>40.159999999999997</v>
      </c>
    </row>
    <row r="25" spans="2:19" ht="18" customHeight="1">
      <c r="B25" s="94" t="s">
        <v>1493</v>
      </c>
      <c r="C25" s="95" t="s">
        <v>1497</v>
      </c>
      <c r="D25" s="218">
        <v>1</v>
      </c>
      <c r="E25" s="97">
        <v>25.95</v>
      </c>
      <c r="F25" s="97">
        <v>20.440000000000001</v>
      </c>
      <c r="G25" s="97">
        <v>2.8</v>
      </c>
      <c r="H25" s="97">
        <f>J13+J13+P4+P5</f>
        <v>10.77</v>
      </c>
      <c r="I25" s="229"/>
      <c r="J25" s="72" t="s">
        <v>1495</v>
      </c>
      <c r="K25" s="519">
        <f t="shared" si="0"/>
        <v>46.462000000000003</v>
      </c>
      <c r="L25" s="520" t="s">
        <v>1495</v>
      </c>
      <c r="M25">
        <v>46.462000000000003</v>
      </c>
      <c r="N25" s="520"/>
      <c r="O25" s="522" t="str">
        <f t="shared" si="1"/>
        <v xml:space="preserve"> </v>
      </c>
      <c r="P25" s="72"/>
      <c r="Q25" s="534" t="str">
        <f t="shared" si="2"/>
        <v xml:space="preserve"> </v>
      </c>
      <c r="R25" s="535" t="s">
        <v>1496</v>
      </c>
      <c r="S25" s="536">
        <f t="shared" si="3"/>
        <v>25.95</v>
      </c>
    </row>
    <row r="26" spans="2:19" ht="18" customHeight="1">
      <c r="B26" s="94" t="s">
        <v>1493</v>
      </c>
      <c r="C26" s="95" t="s">
        <v>1498</v>
      </c>
      <c r="D26" s="218">
        <v>1</v>
      </c>
      <c r="E26" s="97">
        <v>14.03</v>
      </c>
      <c r="F26" s="97">
        <v>16.440000000000001</v>
      </c>
      <c r="G26" s="97">
        <v>2.8</v>
      </c>
      <c r="H26" s="97">
        <f>J1+P4</f>
        <v>2.4899999999999998</v>
      </c>
      <c r="I26" s="229"/>
      <c r="J26" s="72" t="s">
        <v>1495</v>
      </c>
      <c r="K26" s="519">
        <f t="shared" si="0"/>
        <v>43.542000000000002</v>
      </c>
      <c r="L26" s="520" t="s">
        <v>1495</v>
      </c>
      <c r="M26">
        <v>43.542000000000002</v>
      </c>
      <c r="N26" s="520"/>
      <c r="O26" s="522" t="str">
        <f t="shared" si="1"/>
        <v xml:space="preserve"> </v>
      </c>
      <c r="P26" s="72"/>
      <c r="Q26" s="534" t="str">
        <f t="shared" si="2"/>
        <v xml:space="preserve"> </v>
      </c>
      <c r="R26" s="535" t="s">
        <v>1496</v>
      </c>
      <c r="S26" s="536">
        <f t="shared" si="3"/>
        <v>14.03</v>
      </c>
    </row>
    <row r="27" spans="2:19" ht="18" customHeight="1">
      <c r="B27" s="94" t="s">
        <v>1493</v>
      </c>
      <c r="C27" s="95" t="s">
        <v>1499</v>
      </c>
      <c r="D27" s="218">
        <v>1</v>
      </c>
      <c r="E27" s="97">
        <v>25.8</v>
      </c>
      <c r="F27" s="97">
        <v>41.56</v>
      </c>
      <c r="G27" s="97">
        <v>2.8</v>
      </c>
      <c r="H27" s="97">
        <f>(1.65*2.8)+P5+P5+P5+P3+P3+J1+J1+P3</f>
        <v>16.529999999999998</v>
      </c>
      <c r="I27" s="229"/>
      <c r="J27" s="72" t="s">
        <v>1495</v>
      </c>
      <c r="K27" s="519">
        <f t="shared" si="0"/>
        <v>99.837999999999994</v>
      </c>
      <c r="L27" s="520" t="s">
        <v>1495</v>
      </c>
      <c r="M27">
        <v>99.837999999999994</v>
      </c>
      <c r="N27" s="520"/>
      <c r="O27" s="522" t="str">
        <f t="shared" si="1"/>
        <v xml:space="preserve"> </v>
      </c>
      <c r="P27" s="72"/>
      <c r="Q27" s="534" t="str">
        <f t="shared" si="2"/>
        <v xml:space="preserve"> </v>
      </c>
      <c r="R27" s="537" t="s">
        <v>1496</v>
      </c>
      <c r="S27" s="536">
        <f t="shared" si="3"/>
        <v>25.8</v>
      </c>
    </row>
    <row r="28" spans="2:19" ht="18" customHeight="1">
      <c r="B28" s="94" t="s">
        <v>1493</v>
      </c>
      <c r="C28" s="95" t="s">
        <v>1500</v>
      </c>
      <c r="D28" s="218">
        <v>1</v>
      </c>
      <c r="E28" s="97">
        <v>11.67</v>
      </c>
      <c r="F28" s="97">
        <v>14.14</v>
      </c>
      <c r="G28" s="97">
        <v>2.8</v>
      </c>
      <c r="H28" s="97">
        <f>P5+(3.06*2.8)</f>
        <v>10.247999999999999</v>
      </c>
      <c r="I28" s="229"/>
      <c r="J28" s="153" t="s">
        <v>1495</v>
      </c>
      <c r="K28" s="519">
        <f t="shared" si="0"/>
        <v>29.344000000000001</v>
      </c>
      <c r="L28" s="153" t="s">
        <v>1495</v>
      </c>
      <c r="M28">
        <v>29.344000000000001</v>
      </c>
      <c r="N28" s="153"/>
      <c r="O28" s="522" t="str">
        <f t="shared" si="1"/>
        <v xml:space="preserve"> </v>
      </c>
      <c r="P28" s="72"/>
      <c r="Q28" s="534" t="str">
        <f t="shared" si="2"/>
        <v xml:space="preserve"> </v>
      </c>
      <c r="R28" s="535" t="s">
        <v>1496</v>
      </c>
      <c r="S28" s="536">
        <f t="shared" si="3"/>
        <v>11.67</v>
      </c>
    </row>
    <row r="29" spans="2:19" ht="18" customHeight="1">
      <c r="B29" s="94" t="s">
        <v>1493</v>
      </c>
      <c r="C29" s="95" t="s">
        <v>1501</v>
      </c>
      <c r="D29" s="218">
        <v>1</v>
      </c>
      <c r="E29" s="97">
        <v>9.73</v>
      </c>
      <c r="F29" s="97">
        <v>14.2</v>
      </c>
      <c r="G29" s="97">
        <v>2.8</v>
      </c>
      <c r="H29" s="97">
        <f>J8+P5+P2</f>
        <v>5.76</v>
      </c>
      <c r="I29" s="229"/>
      <c r="J29" s="153" t="s">
        <v>1495</v>
      </c>
      <c r="K29" s="519">
        <f t="shared" si="0"/>
        <v>34</v>
      </c>
      <c r="L29" s="153" t="s">
        <v>1495</v>
      </c>
      <c r="M29">
        <v>34</v>
      </c>
      <c r="N29" s="153"/>
      <c r="O29" s="522" t="str">
        <f t="shared" si="1"/>
        <v xml:space="preserve"> </v>
      </c>
      <c r="P29" s="72"/>
      <c r="Q29" s="534" t="str">
        <f t="shared" si="2"/>
        <v xml:space="preserve"> </v>
      </c>
      <c r="R29" s="535" t="s">
        <v>1496</v>
      </c>
      <c r="S29" s="536">
        <f t="shared" si="3"/>
        <v>9.73</v>
      </c>
    </row>
    <row r="30" spans="2:19" ht="18" customHeight="1">
      <c r="B30" s="94" t="s">
        <v>1493</v>
      </c>
      <c r="C30" s="95" t="s">
        <v>1502</v>
      </c>
      <c r="D30" s="153">
        <v>1</v>
      </c>
      <c r="E30" s="97">
        <v>2.8</v>
      </c>
      <c r="F30" s="97">
        <v>6.9</v>
      </c>
      <c r="G30" s="97">
        <v>2.8</v>
      </c>
      <c r="H30" s="97">
        <f>J1+P2</f>
        <v>2.2799999999999998</v>
      </c>
      <c r="I30" s="229"/>
      <c r="J30" s="153" t="s">
        <v>1495</v>
      </c>
      <c r="K30" s="519">
        <f t="shared" si="0"/>
        <v>17.04</v>
      </c>
      <c r="L30" s="153"/>
      <c r="M30" t="s">
        <v>20</v>
      </c>
      <c r="N30" s="153"/>
      <c r="O30" s="522" t="str">
        <f t="shared" si="1"/>
        <v xml:space="preserve"> </v>
      </c>
      <c r="P30" s="72" t="s">
        <v>1495</v>
      </c>
      <c r="Q30" s="534">
        <f t="shared" si="2"/>
        <v>17.04</v>
      </c>
      <c r="R30" s="535" t="s">
        <v>1496</v>
      </c>
      <c r="S30" s="536">
        <f t="shared" si="3"/>
        <v>2.8</v>
      </c>
    </row>
    <row r="31" spans="2:19" ht="18" customHeight="1">
      <c r="B31" s="94" t="s">
        <v>1493</v>
      </c>
      <c r="C31" s="95" t="s">
        <v>1503</v>
      </c>
      <c r="D31" s="153">
        <v>1</v>
      </c>
      <c r="E31" s="97">
        <v>19.84</v>
      </c>
      <c r="F31" s="97">
        <v>18.8</v>
      </c>
      <c r="G31" s="97">
        <v>2.8</v>
      </c>
      <c r="H31" s="99">
        <f>J13+P5</f>
        <v>5.2799999999999994</v>
      </c>
      <c r="I31" s="229"/>
      <c r="J31" s="153" t="s">
        <v>1495</v>
      </c>
      <c r="K31" s="519">
        <f t="shared" si="0"/>
        <v>47.36</v>
      </c>
      <c r="L31" s="72" t="s">
        <v>1495</v>
      </c>
      <c r="M31">
        <v>47.36</v>
      </c>
      <c r="N31" s="153"/>
      <c r="O31" s="522" t="str">
        <f t="shared" si="1"/>
        <v xml:space="preserve"> </v>
      </c>
      <c r="P31" s="72"/>
      <c r="Q31" s="534" t="str">
        <f t="shared" si="2"/>
        <v xml:space="preserve"> </v>
      </c>
      <c r="R31" s="535" t="s">
        <v>1496</v>
      </c>
      <c r="S31" s="536">
        <f t="shared" si="3"/>
        <v>19.84</v>
      </c>
    </row>
    <row r="32" spans="2:19" ht="18" customHeight="1">
      <c r="B32" s="94" t="s">
        <v>1493</v>
      </c>
      <c r="C32" s="95" t="s">
        <v>1504</v>
      </c>
      <c r="D32" s="153">
        <v>1</v>
      </c>
      <c r="E32" s="99">
        <v>2.7</v>
      </c>
      <c r="F32" s="99">
        <v>6.6</v>
      </c>
      <c r="G32" s="99">
        <v>2.8</v>
      </c>
      <c r="H32" s="97">
        <f>P3+J1</f>
        <v>2.4900000000000002</v>
      </c>
      <c r="I32" s="229"/>
      <c r="J32" s="153" t="s">
        <v>1495</v>
      </c>
      <c r="K32" s="519">
        <f t="shared" si="0"/>
        <v>15.989999999999997</v>
      </c>
      <c r="L32" s="155"/>
      <c r="M32" t="s">
        <v>20</v>
      </c>
      <c r="N32" s="153"/>
      <c r="O32" s="522" t="str">
        <f t="shared" si="1"/>
        <v xml:space="preserve"> </v>
      </c>
      <c r="P32" s="72" t="s">
        <v>1495</v>
      </c>
      <c r="Q32" s="534">
        <f t="shared" si="2"/>
        <v>15.989999999999997</v>
      </c>
      <c r="R32" s="538" t="s">
        <v>1496</v>
      </c>
      <c r="S32" s="536">
        <f t="shared" si="3"/>
        <v>2.7</v>
      </c>
    </row>
    <row r="33" spans="2:19" ht="18" customHeight="1">
      <c r="B33" s="94" t="s">
        <v>1493</v>
      </c>
      <c r="C33" s="95" t="s">
        <v>1505</v>
      </c>
      <c r="D33" s="153">
        <v>1</v>
      </c>
      <c r="E33" s="97">
        <v>2.7</v>
      </c>
      <c r="F33" s="97">
        <v>6.6</v>
      </c>
      <c r="G33" s="97">
        <v>2.8</v>
      </c>
      <c r="H33" s="97">
        <f>P3+J1</f>
        <v>2.4900000000000002</v>
      </c>
      <c r="I33" s="229"/>
      <c r="J33" s="153" t="s">
        <v>1495</v>
      </c>
      <c r="K33" s="519">
        <f t="shared" si="0"/>
        <v>15.989999999999997</v>
      </c>
      <c r="L33" s="153"/>
      <c r="M33" t="s">
        <v>20</v>
      </c>
      <c r="N33" s="153"/>
      <c r="O33" s="522" t="str">
        <f t="shared" si="1"/>
        <v xml:space="preserve"> </v>
      </c>
      <c r="P33" s="72" t="s">
        <v>1495</v>
      </c>
      <c r="Q33" s="534">
        <f t="shared" si="2"/>
        <v>15.989999999999997</v>
      </c>
      <c r="R33" s="538" t="s">
        <v>1496</v>
      </c>
      <c r="S33" s="536">
        <f t="shared" si="3"/>
        <v>2.7</v>
      </c>
    </row>
    <row r="34" spans="2:19" ht="18" customHeight="1">
      <c r="B34" s="94" t="s">
        <v>1493</v>
      </c>
      <c r="C34" s="95" t="s">
        <v>1506</v>
      </c>
      <c r="D34" s="153">
        <v>1</v>
      </c>
      <c r="E34" s="97">
        <v>10.45</v>
      </c>
      <c r="F34" s="97">
        <v>6.85</v>
      </c>
      <c r="G34" s="97">
        <v>2.8</v>
      </c>
      <c r="H34" s="97">
        <f>P3+P3+J1+(2.62*2.8)</f>
        <v>11.715999999999999</v>
      </c>
      <c r="I34" s="229"/>
      <c r="J34" s="153" t="s">
        <v>1495</v>
      </c>
      <c r="K34" s="519">
        <f t="shared" si="0"/>
        <v>7.4639999999999969</v>
      </c>
      <c r="L34" s="153" t="s">
        <v>1495</v>
      </c>
      <c r="M34">
        <v>7.4640000000000004</v>
      </c>
      <c r="N34" s="153"/>
      <c r="O34" s="522" t="str">
        <f t="shared" si="1"/>
        <v xml:space="preserve"> </v>
      </c>
      <c r="P34" s="72"/>
      <c r="Q34" s="534" t="str">
        <f t="shared" si="2"/>
        <v xml:space="preserve"> </v>
      </c>
      <c r="R34" s="538" t="s">
        <v>1496</v>
      </c>
      <c r="S34" s="536">
        <f t="shared" si="3"/>
        <v>10.45</v>
      </c>
    </row>
    <row r="35" spans="2:19" ht="18" customHeight="1">
      <c r="B35" s="94" t="s">
        <v>1493</v>
      </c>
      <c r="C35" s="95" t="s">
        <v>1507</v>
      </c>
      <c r="D35" s="153">
        <v>1</v>
      </c>
      <c r="E35" s="97">
        <v>2.85</v>
      </c>
      <c r="F35" s="97">
        <v>6.85</v>
      </c>
      <c r="G35" s="97">
        <v>2.8</v>
      </c>
      <c r="H35" s="97">
        <f>P2+J1</f>
        <v>2.2799999999999998</v>
      </c>
      <c r="I35" s="229"/>
      <c r="J35" s="153" t="s">
        <v>1495</v>
      </c>
      <c r="K35" s="519">
        <f t="shared" si="0"/>
        <v>16.899999999999995</v>
      </c>
      <c r="L35" s="153"/>
      <c r="M35" t="s">
        <v>20</v>
      </c>
      <c r="N35" s="153"/>
      <c r="O35" s="522" t="str">
        <f t="shared" si="1"/>
        <v xml:space="preserve"> </v>
      </c>
      <c r="P35" s="72" t="s">
        <v>1495</v>
      </c>
      <c r="Q35" s="534">
        <f t="shared" si="2"/>
        <v>16.899999999999995</v>
      </c>
      <c r="R35" s="538" t="s">
        <v>1496</v>
      </c>
      <c r="S35" s="536">
        <f t="shared" si="3"/>
        <v>2.85</v>
      </c>
    </row>
    <row r="36" spans="2:19" ht="18" customHeight="1">
      <c r="B36" s="94" t="s">
        <v>1493</v>
      </c>
      <c r="C36" s="95" t="s">
        <v>1508</v>
      </c>
      <c r="D36" s="153">
        <v>1</v>
      </c>
      <c r="E36" s="97">
        <v>125.72</v>
      </c>
      <c r="F36" s="97">
        <v>48.53</v>
      </c>
      <c r="G36" s="97">
        <v>2.8</v>
      </c>
      <c r="H36" s="97">
        <f>P8+J12+J10+J5+P3+((7.72+5.61)*2.8)</f>
        <v>56.623999999999995</v>
      </c>
      <c r="I36" s="229"/>
      <c r="J36" s="153" t="s">
        <v>1495</v>
      </c>
      <c r="K36" s="519">
        <f t="shared" si="0"/>
        <v>79.259999999999991</v>
      </c>
      <c r="L36" s="153"/>
      <c r="M36" t="s">
        <v>20</v>
      </c>
      <c r="N36" s="153"/>
      <c r="O36" s="522" t="str">
        <f t="shared" si="1"/>
        <v xml:space="preserve"> </v>
      </c>
      <c r="P36" s="72" t="s">
        <v>1495</v>
      </c>
      <c r="Q36" s="534">
        <f t="shared" si="2"/>
        <v>79.259999999999991</v>
      </c>
      <c r="R36" s="538" t="s">
        <v>1496</v>
      </c>
      <c r="S36" s="536">
        <f t="shared" si="3"/>
        <v>125.72</v>
      </c>
    </row>
    <row r="37" spans="2:19" ht="18" customHeight="1">
      <c r="B37" s="94" t="s">
        <v>1493</v>
      </c>
      <c r="C37" s="95" t="s">
        <v>1509</v>
      </c>
      <c r="D37" s="218">
        <v>1</v>
      </c>
      <c r="E37" s="97">
        <v>41.7</v>
      </c>
      <c r="F37" s="97">
        <v>36.409999999999997</v>
      </c>
      <c r="G37" s="97">
        <v>3.1</v>
      </c>
      <c r="H37" s="97">
        <f>J10+J5+P5+(1*2.1)+J11+J9</f>
        <v>13.639999999999999</v>
      </c>
      <c r="I37" s="229"/>
      <c r="J37" s="72" t="s">
        <v>1495</v>
      </c>
      <c r="K37" s="519">
        <f t="shared" si="0"/>
        <v>99.230999999999995</v>
      </c>
      <c r="L37" s="520"/>
      <c r="M37" t="s">
        <v>20</v>
      </c>
      <c r="N37" s="520"/>
      <c r="O37" s="522" t="str">
        <f t="shared" si="1"/>
        <v xml:space="preserve"> </v>
      </c>
      <c r="P37" s="72" t="s">
        <v>1495</v>
      </c>
      <c r="Q37" s="534">
        <f t="shared" si="2"/>
        <v>99.230999999999995</v>
      </c>
      <c r="R37" s="535" t="s">
        <v>1496</v>
      </c>
      <c r="S37" s="536">
        <f t="shared" si="3"/>
        <v>41.7</v>
      </c>
    </row>
    <row r="38" spans="2:19" ht="18" customHeight="1">
      <c r="B38" s="94" t="s">
        <v>1493</v>
      </c>
      <c r="C38" s="95" t="s">
        <v>1510</v>
      </c>
      <c r="D38" s="218">
        <v>1</v>
      </c>
      <c r="E38" s="97">
        <v>6.51</v>
      </c>
      <c r="F38" s="97">
        <v>10.41</v>
      </c>
      <c r="G38" s="97">
        <v>3.1</v>
      </c>
      <c r="H38" s="97">
        <f>P3+J2</f>
        <v>2.6900000000000004</v>
      </c>
      <c r="I38" s="229"/>
      <c r="J38" s="72" t="s">
        <v>1495</v>
      </c>
      <c r="K38" s="519">
        <f t="shared" si="0"/>
        <v>29.581</v>
      </c>
      <c r="L38" s="520"/>
      <c r="M38" t="s">
        <v>20</v>
      </c>
      <c r="N38" s="520"/>
      <c r="O38" s="522" t="str">
        <f t="shared" si="1"/>
        <v xml:space="preserve"> </v>
      </c>
      <c r="P38" s="72" t="s">
        <v>1495</v>
      </c>
      <c r="Q38" s="534">
        <f t="shared" si="2"/>
        <v>29.581</v>
      </c>
      <c r="R38" s="537" t="s">
        <v>1496</v>
      </c>
      <c r="S38" s="536">
        <f t="shared" si="3"/>
        <v>6.51</v>
      </c>
    </row>
    <row r="39" spans="2:19" ht="18" customHeight="1">
      <c r="B39" s="94" t="s">
        <v>1493</v>
      </c>
      <c r="C39" s="95" t="s">
        <v>1511</v>
      </c>
      <c r="D39" s="218">
        <v>1</v>
      </c>
      <c r="E39" s="97">
        <v>16.45</v>
      </c>
      <c r="F39" s="97">
        <v>16.77</v>
      </c>
      <c r="G39" s="97">
        <v>3.1</v>
      </c>
      <c r="H39" s="97">
        <f>P3+J2+C6+(5.31*2.5)</f>
        <v>19.114999999999998</v>
      </c>
      <c r="I39" s="229">
        <v>8.89</v>
      </c>
      <c r="J39" s="153" t="s">
        <v>1495</v>
      </c>
      <c r="K39" s="519">
        <f t="shared" si="0"/>
        <v>32.872</v>
      </c>
      <c r="L39" s="153"/>
      <c r="M39" t="s">
        <v>20</v>
      </c>
      <c r="N39" s="153"/>
      <c r="O39" s="522" t="str">
        <f t="shared" si="1"/>
        <v xml:space="preserve"> </v>
      </c>
      <c r="P39" s="72" t="s">
        <v>1495</v>
      </c>
      <c r="Q39" s="534">
        <f t="shared" si="2"/>
        <v>32.872</v>
      </c>
      <c r="R39" s="537" t="s">
        <v>1496</v>
      </c>
      <c r="S39" s="536">
        <f t="shared" si="3"/>
        <v>7.5599999999999987</v>
      </c>
    </row>
    <row r="40" spans="2:19" ht="18" customHeight="1">
      <c r="B40" s="94" t="s">
        <v>1493</v>
      </c>
      <c r="C40" s="95" t="s">
        <v>1512</v>
      </c>
      <c r="D40" s="218">
        <v>1</v>
      </c>
      <c r="E40" s="97">
        <v>10.02</v>
      </c>
      <c r="F40" s="97">
        <v>13.17</v>
      </c>
      <c r="G40" s="97">
        <v>3.1</v>
      </c>
      <c r="H40" s="97">
        <f>P5+P3+J4+2*(1*2.1)</f>
        <v>9.57</v>
      </c>
      <c r="I40" s="229"/>
      <c r="J40" s="153" t="s">
        <v>1495</v>
      </c>
      <c r="K40" s="519">
        <f t="shared" si="0"/>
        <v>31.256999999999998</v>
      </c>
      <c r="L40" s="153"/>
      <c r="M40" t="s">
        <v>20</v>
      </c>
      <c r="N40" s="153"/>
      <c r="O40" s="522" t="str">
        <f t="shared" si="1"/>
        <v xml:space="preserve"> </v>
      </c>
      <c r="P40" s="72" t="s">
        <v>1495</v>
      </c>
      <c r="Q40" s="534">
        <f t="shared" si="2"/>
        <v>31.256999999999998</v>
      </c>
      <c r="R40" s="537" t="s">
        <v>1496</v>
      </c>
      <c r="S40" s="536">
        <f t="shared" si="3"/>
        <v>10.02</v>
      </c>
    </row>
    <row r="41" spans="2:19" ht="18" customHeight="1">
      <c r="B41" s="94" t="s">
        <v>1493</v>
      </c>
      <c r="C41" s="95" t="s">
        <v>1513</v>
      </c>
      <c r="D41" s="153">
        <v>1</v>
      </c>
      <c r="E41" s="97">
        <v>4.3600000000000003</v>
      </c>
      <c r="F41" s="97">
        <v>8.39</v>
      </c>
      <c r="G41" s="97">
        <v>3.1</v>
      </c>
      <c r="H41" s="99">
        <f>P3+(1*2.1)</f>
        <v>3.99</v>
      </c>
      <c r="I41" s="229"/>
      <c r="J41" s="153" t="s">
        <v>1495</v>
      </c>
      <c r="K41" s="519">
        <f t="shared" si="0"/>
        <v>22.019000000000005</v>
      </c>
      <c r="L41" s="72"/>
      <c r="M41" t="s">
        <v>20</v>
      </c>
      <c r="N41" s="153"/>
      <c r="O41" s="522" t="str">
        <f t="shared" si="1"/>
        <v xml:space="preserve"> </v>
      </c>
      <c r="P41" s="72" t="s">
        <v>1495</v>
      </c>
      <c r="Q41" s="534">
        <f t="shared" si="2"/>
        <v>22.019000000000005</v>
      </c>
      <c r="R41" s="537" t="s">
        <v>1496</v>
      </c>
      <c r="S41" s="536">
        <f t="shared" si="3"/>
        <v>4.3600000000000003</v>
      </c>
    </row>
    <row r="42" spans="2:19" ht="18" customHeight="1">
      <c r="B42" s="94" t="s">
        <v>1493</v>
      </c>
      <c r="C42" s="95" t="s">
        <v>1499</v>
      </c>
      <c r="D42" s="153">
        <v>1</v>
      </c>
      <c r="E42" s="99">
        <v>7.21</v>
      </c>
      <c r="F42" s="99">
        <v>15.8</v>
      </c>
      <c r="G42" s="99">
        <v>3.1</v>
      </c>
      <c r="H42" s="97">
        <v>14.23</v>
      </c>
      <c r="I42" s="229"/>
      <c r="J42" s="153" t="s">
        <v>1495</v>
      </c>
      <c r="K42" s="519">
        <f t="shared" si="0"/>
        <v>34.75</v>
      </c>
      <c r="L42" s="155"/>
      <c r="M42" t="s">
        <v>20</v>
      </c>
      <c r="N42" s="153"/>
      <c r="O42" s="522" t="str">
        <f t="shared" si="1"/>
        <v xml:space="preserve"> </v>
      </c>
      <c r="P42" s="72" t="s">
        <v>1495</v>
      </c>
      <c r="Q42" s="534">
        <f t="shared" si="2"/>
        <v>34.75</v>
      </c>
      <c r="R42" s="538" t="s">
        <v>1496</v>
      </c>
      <c r="S42" s="536">
        <f t="shared" si="3"/>
        <v>7.21</v>
      </c>
    </row>
    <row r="43" spans="2:19" ht="18" customHeight="1">
      <c r="B43" s="94" t="s">
        <v>1493</v>
      </c>
      <c r="C43" s="95" t="s">
        <v>1514</v>
      </c>
      <c r="D43" s="153">
        <v>1</v>
      </c>
      <c r="E43" s="97">
        <v>8.9</v>
      </c>
      <c r="F43" s="97">
        <v>12.03</v>
      </c>
      <c r="G43" s="97">
        <v>3.1</v>
      </c>
      <c r="H43" s="97">
        <f>P3+J11+J4</f>
        <v>5.94</v>
      </c>
      <c r="I43" s="229"/>
      <c r="J43" s="153" t="s">
        <v>1495</v>
      </c>
      <c r="K43" s="519">
        <f t="shared" si="0"/>
        <v>31.352999999999998</v>
      </c>
      <c r="L43" s="153"/>
      <c r="M43" t="s">
        <v>20</v>
      </c>
      <c r="N43" s="153"/>
      <c r="O43" s="522" t="str">
        <f t="shared" si="1"/>
        <v xml:space="preserve"> </v>
      </c>
      <c r="P43" s="72" t="s">
        <v>1495</v>
      </c>
      <c r="Q43" s="534">
        <f t="shared" si="2"/>
        <v>31.352999999999998</v>
      </c>
      <c r="R43" s="538" t="s">
        <v>1496</v>
      </c>
      <c r="S43" s="536">
        <f t="shared" si="3"/>
        <v>8.9</v>
      </c>
    </row>
    <row r="44" spans="2:19" ht="18" customHeight="1">
      <c r="B44" s="94" t="s">
        <v>1493</v>
      </c>
      <c r="C44" s="95" t="s">
        <v>1515</v>
      </c>
      <c r="D44" s="153">
        <v>1</v>
      </c>
      <c r="E44" s="97">
        <v>5.42</v>
      </c>
      <c r="F44" s="97">
        <v>10.119999999999999</v>
      </c>
      <c r="G44" s="97">
        <v>3.1</v>
      </c>
      <c r="H44" s="97">
        <f>P3</f>
        <v>1.8900000000000001</v>
      </c>
      <c r="I44" s="229"/>
      <c r="J44" s="153" t="s">
        <v>1495</v>
      </c>
      <c r="K44" s="519">
        <f t="shared" si="0"/>
        <v>29.481999999999999</v>
      </c>
      <c r="L44" s="153"/>
      <c r="M44" t="s">
        <v>20</v>
      </c>
      <c r="N44" s="153"/>
      <c r="O44" s="522" t="str">
        <f t="shared" si="1"/>
        <v xml:space="preserve"> </v>
      </c>
      <c r="P44" s="72" t="s">
        <v>1495</v>
      </c>
      <c r="Q44" s="534">
        <f t="shared" si="2"/>
        <v>29.481999999999999</v>
      </c>
      <c r="R44" s="538" t="s">
        <v>1496</v>
      </c>
      <c r="S44" s="536">
        <f t="shared" si="3"/>
        <v>5.42</v>
      </c>
    </row>
    <row r="45" spans="2:19" ht="18" customHeight="1">
      <c r="B45" s="94" t="s">
        <v>1493</v>
      </c>
      <c r="C45" s="95" t="s">
        <v>1516</v>
      </c>
      <c r="D45" s="153">
        <v>1</v>
      </c>
      <c r="E45" s="97">
        <v>7.33</v>
      </c>
      <c r="F45" s="97">
        <v>10.83</v>
      </c>
      <c r="G45" s="97">
        <v>3.1</v>
      </c>
      <c r="H45" s="97">
        <f>P3+J4+J9</f>
        <v>5.69</v>
      </c>
      <c r="I45" s="229"/>
      <c r="J45" s="153" t="s">
        <v>1495</v>
      </c>
      <c r="K45" s="519">
        <f t="shared" si="0"/>
        <v>27.882999999999999</v>
      </c>
      <c r="L45" s="153"/>
      <c r="M45" t="s">
        <v>20</v>
      </c>
      <c r="N45" s="153"/>
      <c r="O45" s="522" t="str">
        <f t="shared" si="1"/>
        <v xml:space="preserve"> </v>
      </c>
      <c r="P45" s="72" t="s">
        <v>1495</v>
      </c>
      <c r="Q45" s="534">
        <f t="shared" si="2"/>
        <v>27.882999999999999</v>
      </c>
      <c r="R45" s="538" t="s">
        <v>1496</v>
      </c>
      <c r="S45" s="536">
        <f t="shared" si="3"/>
        <v>7.33</v>
      </c>
    </row>
    <row r="46" spans="2:19" ht="18" customHeight="1">
      <c r="B46" s="94" t="s">
        <v>1493</v>
      </c>
      <c r="C46" s="95" t="s">
        <v>1517</v>
      </c>
      <c r="D46" s="153">
        <v>1</v>
      </c>
      <c r="E46" s="97">
        <v>3.12</v>
      </c>
      <c r="F46" s="97">
        <v>7.2</v>
      </c>
      <c r="G46" s="97">
        <v>2.8</v>
      </c>
      <c r="H46" s="97">
        <f>P2</f>
        <v>1.68</v>
      </c>
      <c r="I46" s="229"/>
      <c r="J46" s="153" t="s">
        <v>1495</v>
      </c>
      <c r="K46" s="519">
        <f t="shared" si="0"/>
        <v>18.48</v>
      </c>
      <c r="L46" s="153"/>
      <c r="M46" t="s">
        <v>20</v>
      </c>
      <c r="N46" s="153"/>
      <c r="O46" s="522" t="str">
        <f t="shared" si="1"/>
        <v xml:space="preserve"> </v>
      </c>
      <c r="P46" s="72" t="s">
        <v>1495</v>
      </c>
      <c r="Q46" s="534">
        <f t="shared" si="2"/>
        <v>18.48</v>
      </c>
      <c r="R46" s="538" t="s">
        <v>1496</v>
      </c>
      <c r="S46" s="536">
        <f t="shared" si="3"/>
        <v>3.12</v>
      </c>
    </row>
    <row r="47" spans="2:19" ht="18" customHeight="1">
      <c r="B47" s="100" t="s">
        <v>1493</v>
      </c>
      <c r="C47" s="101" t="s">
        <v>1518</v>
      </c>
      <c r="D47" s="219">
        <v>1</v>
      </c>
      <c r="E47" s="102">
        <v>3.12</v>
      </c>
      <c r="F47" s="102">
        <v>7.2</v>
      </c>
      <c r="G47" s="102">
        <v>2.8</v>
      </c>
      <c r="H47" s="102">
        <f>P2</f>
        <v>1.68</v>
      </c>
      <c r="I47" s="237"/>
      <c r="J47" s="523" t="s">
        <v>1495</v>
      </c>
      <c r="K47" s="524">
        <f t="shared" si="0"/>
        <v>18.48</v>
      </c>
      <c r="L47" s="525"/>
      <c r="M47" t="s">
        <v>20</v>
      </c>
      <c r="N47" s="525"/>
      <c r="O47" s="526" t="str">
        <f t="shared" si="1"/>
        <v xml:space="preserve"> </v>
      </c>
      <c r="P47" s="523" t="s">
        <v>1495</v>
      </c>
      <c r="Q47" s="539">
        <f t="shared" si="2"/>
        <v>18.48</v>
      </c>
      <c r="R47" s="540" t="s">
        <v>1496</v>
      </c>
      <c r="S47" s="541">
        <f t="shared" si="3"/>
        <v>3.12</v>
      </c>
    </row>
    <row r="48" spans="2:19" ht="18" customHeight="1">
      <c r="B48" s="119" t="s">
        <v>1493</v>
      </c>
      <c r="C48" s="120" t="s">
        <v>1519</v>
      </c>
      <c r="D48" s="220">
        <v>1</v>
      </c>
      <c r="E48" s="121">
        <v>38.979999999999997</v>
      </c>
      <c r="F48" s="121">
        <v>25</v>
      </c>
      <c r="G48" s="121">
        <v>3</v>
      </c>
      <c r="H48" s="121">
        <f>P5+P8+J12+J12+P3</f>
        <v>18.37</v>
      </c>
      <c r="I48" s="238"/>
      <c r="J48" s="527" t="s">
        <v>1495</v>
      </c>
      <c r="K48" s="528">
        <f t="shared" si="0"/>
        <v>56.629999999999995</v>
      </c>
      <c r="L48" s="529" t="s">
        <v>1495</v>
      </c>
      <c r="M48">
        <v>56.63</v>
      </c>
      <c r="N48" s="529"/>
      <c r="O48" s="530" t="str">
        <f t="shared" si="1"/>
        <v xml:space="preserve"> </v>
      </c>
      <c r="P48" s="527"/>
      <c r="Q48" s="542" t="str">
        <f t="shared" si="2"/>
        <v xml:space="preserve"> </v>
      </c>
      <c r="R48" s="543" t="s">
        <v>1496</v>
      </c>
      <c r="S48" s="544">
        <f t="shared" si="3"/>
        <v>38.979999999999997</v>
      </c>
    </row>
    <row r="49" spans="2:19" ht="18" customHeight="1">
      <c r="B49" s="94" t="s">
        <v>1493</v>
      </c>
      <c r="C49" s="95" t="s">
        <v>1520</v>
      </c>
      <c r="D49" s="218">
        <v>1</v>
      </c>
      <c r="E49" s="97">
        <v>16.61</v>
      </c>
      <c r="F49" s="97">
        <v>21.94</v>
      </c>
      <c r="G49" s="97">
        <v>2.61</v>
      </c>
      <c r="H49" s="97">
        <f>P3+P3+J7+J7</f>
        <v>6.1800000000000006</v>
      </c>
      <c r="I49" s="229"/>
      <c r="J49" s="153" t="s">
        <v>1495</v>
      </c>
      <c r="K49" s="519">
        <f t="shared" si="0"/>
        <v>51.083399999999997</v>
      </c>
      <c r="L49" s="153"/>
      <c r="M49" t="s">
        <v>20</v>
      </c>
      <c r="N49" s="153"/>
      <c r="O49" s="522" t="str">
        <f t="shared" si="1"/>
        <v xml:space="preserve"> </v>
      </c>
      <c r="P49" s="72" t="s">
        <v>1495</v>
      </c>
      <c r="Q49" s="534">
        <f t="shared" si="2"/>
        <v>51.083399999999997</v>
      </c>
      <c r="R49" s="543" t="s">
        <v>1496</v>
      </c>
      <c r="S49" s="536">
        <f t="shared" si="3"/>
        <v>16.61</v>
      </c>
    </row>
    <row r="50" spans="2:19" ht="18" customHeight="1">
      <c r="B50" s="94" t="s">
        <v>1493</v>
      </c>
      <c r="C50" s="95" t="s">
        <v>1519</v>
      </c>
      <c r="D50" s="153">
        <v>1</v>
      </c>
      <c r="E50" s="97">
        <v>38.979999999999997</v>
      </c>
      <c r="F50" s="97">
        <v>25</v>
      </c>
      <c r="G50" s="97">
        <v>3</v>
      </c>
      <c r="H50" s="97">
        <f>P5+P3+J12+J12+P8</f>
        <v>18.37</v>
      </c>
      <c r="I50" s="229"/>
      <c r="J50" s="153" t="s">
        <v>1495</v>
      </c>
      <c r="K50" s="519">
        <f t="shared" si="0"/>
        <v>56.629999999999995</v>
      </c>
      <c r="L50" s="153" t="s">
        <v>1495</v>
      </c>
      <c r="M50">
        <v>56.63</v>
      </c>
      <c r="N50" s="153"/>
      <c r="O50" s="522" t="str">
        <f t="shared" si="1"/>
        <v xml:space="preserve"> </v>
      </c>
      <c r="P50" s="72"/>
      <c r="Q50" s="534" t="str">
        <f t="shared" si="2"/>
        <v xml:space="preserve"> </v>
      </c>
      <c r="R50" s="543" t="s">
        <v>1496</v>
      </c>
      <c r="S50" s="536">
        <f t="shared" si="3"/>
        <v>38.979999999999997</v>
      </c>
    </row>
    <row r="51" spans="2:19" ht="18" customHeight="1">
      <c r="B51" s="94" t="s">
        <v>1493</v>
      </c>
      <c r="C51" s="95" t="s">
        <v>1521</v>
      </c>
      <c r="D51" s="153">
        <v>1</v>
      </c>
      <c r="E51" s="97">
        <v>38.67</v>
      </c>
      <c r="F51" s="97">
        <v>24.88</v>
      </c>
      <c r="G51" s="97">
        <v>3</v>
      </c>
      <c r="H51" s="99">
        <f>P5+J12+J12+P8</f>
        <v>16.48</v>
      </c>
      <c r="I51" s="229"/>
      <c r="J51" s="153" t="s">
        <v>1495</v>
      </c>
      <c r="K51" s="519">
        <f t="shared" si="0"/>
        <v>58.16</v>
      </c>
      <c r="L51" s="72" t="s">
        <v>1495</v>
      </c>
      <c r="M51">
        <v>58.16</v>
      </c>
      <c r="N51" s="153"/>
      <c r="O51" s="522" t="str">
        <f t="shared" si="1"/>
        <v xml:space="preserve"> </v>
      </c>
      <c r="P51" s="72"/>
      <c r="Q51" s="534" t="str">
        <f t="shared" si="2"/>
        <v xml:space="preserve"> </v>
      </c>
      <c r="R51" s="543" t="s">
        <v>1496</v>
      </c>
      <c r="S51" s="536">
        <f t="shared" si="3"/>
        <v>38.67</v>
      </c>
    </row>
    <row r="52" spans="2:19" ht="18" customHeight="1">
      <c r="B52" s="94" t="s">
        <v>1493</v>
      </c>
      <c r="C52" s="95" t="s">
        <v>1522</v>
      </c>
      <c r="D52" s="153">
        <v>1</v>
      </c>
      <c r="E52" s="99">
        <v>18.72</v>
      </c>
      <c r="F52" s="99">
        <v>19.2</v>
      </c>
      <c r="G52" s="99">
        <v>2.61</v>
      </c>
      <c r="H52" s="97">
        <f>P3+J7+J7</f>
        <v>4.29</v>
      </c>
      <c r="I52" s="229"/>
      <c r="J52" s="153" t="s">
        <v>1495</v>
      </c>
      <c r="K52" s="519">
        <f t="shared" si="0"/>
        <v>45.821999999999996</v>
      </c>
      <c r="L52" s="155"/>
      <c r="M52" t="s">
        <v>20</v>
      </c>
      <c r="N52" s="153"/>
      <c r="O52" s="522" t="str">
        <f t="shared" si="1"/>
        <v xml:space="preserve"> </v>
      </c>
      <c r="P52" s="72" t="s">
        <v>1495</v>
      </c>
      <c r="Q52" s="534">
        <f t="shared" si="2"/>
        <v>45.821999999999996</v>
      </c>
      <c r="R52" s="538" t="s">
        <v>1496</v>
      </c>
      <c r="S52" s="536">
        <f t="shared" si="3"/>
        <v>18.72</v>
      </c>
    </row>
    <row r="53" spans="2:19" ht="18" customHeight="1">
      <c r="B53" s="94" t="s">
        <v>1493</v>
      </c>
      <c r="C53" s="95" t="s">
        <v>1523</v>
      </c>
      <c r="D53" s="153">
        <v>1</v>
      </c>
      <c r="E53" s="97">
        <v>38.1</v>
      </c>
      <c r="F53" s="97">
        <v>24.7</v>
      </c>
      <c r="G53" s="97">
        <v>3</v>
      </c>
      <c r="H53" s="97">
        <f>P5+P8+J7+J7</f>
        <v>12.879999999999999</v>
      </c>
      <c r="I53" s="229"/>
      <c r="J53" s="153" t="s">
        <v>1495</v>
      </c>
      <c r="K53" s="519">
        <f t="shared" si="0"/>
        <v>61.22</v>
      </c>
      <c r="L53" s="153" t="s">
        <v>1495</v>
      </c>
      <c r="M53">
        <v>61.22</v>
      </c>
      <c r="N53" s="153"/>
      <c r="O53" s="522" t="str">
        <f t="shared" si="1"/>
        <v xml:space="preserve"> </v>
      </c>
      <c r="P53" s="72"/>
      <c r="Q53" s="534" t="str">
        <f t="shared" si="2"/>
        <v xml:space="preserve"> </v>
      </c>
      <c r="R53" s="538" t="s">
        <v>1496</v>
      </c>
      <c r="S53" s="536">
        <f t="shared" si="3"/>
        <v>38.1</v>
      </c>
    </row>
    <row r="54" spans="2:19" ht="18" customHeight="1">
      <c r="B54" s="94" t="s">
        <v>1493</v>
      </c>
      <c r="C54" s="95" t="s">
        <v>1524</v>
      </c>
      <c r="D54" s="153">
        <v>1</v>
      </c>
      <c r="E54" s="97">
        <v>38.700000000000003</v>
      </c>
      <c r="F54" s="97">
        <v>24.9</v>
      </c>
      <c r="G54" s="97">
        <v>3</v>
      </c>
      <c r="H54" s="97">
        <f>P5+P3+J7+J7+P8</f>
        <v>14.770000000000001</v>
      </c>
      <c r="I54" s="229"/>
      <c r="J54" s="153" t="s">
        <v>1495</v>
      </c>
      <c r="K54" s="519">
        <f t="shared" si="0"/>
        <v>59.929999999999986</v>
      </c>
      <c r="L54" s="153" t="s">
        <v>1495</v>
      </c>
      <c r="M54">
        <v>59.93</v>
      </c>
      <c r="N54" s="153"/>
      <c r="O54" s="522" t="str">
        <f t="shared" si="1"/>
        <v xml:space="preserve"> </v>
      </c>
      <c r="P54" s="72"/>
      <c r="Q54" s="534" t="str">
        <f t="shared" si="2"/>
        <v xml:space="preserve"> </v>
      </c>
      <c r="R54" s="538" t="s">
        <v>1496</v>
      </c>
      <c r="S54" s="536">
        <f t="shared" si="3"/>
        <v>38.700000000000003</v>
      </c>
    </row>
    <row r="55" spans="2:19" ht="18" customHeight="1">
      <c r="B55" s="94" t="s">
        <v>1493</v>
      </c>
      <c r="C55" s="95" t="s">
        <v>1525</v>
      </c>
      <c r="D55" s="153">
        <v>1</v>
      </c>
      <c r="E55" s="97">
        <v>12.87</v>
      </c>
      <c r="F55" s="97">
        <v>15.4</v>
      </c>
      <c r="G55" s="97">
        <v>2.61</v>
      </c>
      <c r="H55" s="97">
        <v>7.08</v>
      </c>
      <c r="I55" s="229"/>
      <c r="J55" s="153" t="s">
        <v>1495</v>
      </c>
      <c r="K55" s="519">
        <f t="shared" si="0"/>
        <v>33.113999999999997</v>
      </c>
      <c r="L55" s="153"/>
      <c r="M55" t="s">
        <v>20</v>
      </c>
      <c r="N55" s="153"/>
      <c r="O55" s="522" t="str">
        <f t="shared" si="1"/>
        <v xml:space="preserve"> </v>
      </c>
      <c r="P55" s="72" t="s">
        <v>1495</v>
      </c>
      <c r="Q55" s="534">
        <f t="shared" si="2"/>
        <v>33.113999999999997</v>
      </c>
      <c r="R55" s="538" t="s">
        <v>1496</v>
      </c>
      <c r="S55" s="536">
        <f t="shared" si="3"/>
        <v>12.87</v>
      </c>
    </row>
    <row r="56" spans="2:19" ht="18" customHeight="1">
      <c r="B56" s="94" t="s">
        <v>1493</v>
      </c>
      <c r="C56" s="95" t="s">
        <v>1526</v>
      </c>
      <c r="D56" s="153">
        <v>1</v>
      </c>
      <c r="E56" s="97">
        <v>3.77</v>
      </c>
      <c r="F56" s="97">
        <v>8.1</v>
      </c>
      <c r="G56" s="97">
        <v>3</v>
      </c>
      <c r="H56" s="97">
        <f>(1*2.1)+J7</f>
        <v>3.3</v>
      </c>
      <c r="I56" s="229"/>
      <c r="J56" s="153" t="s">
        <v>1495</v>
      </c>
      <c r="K56" s="519">
        <v>21</v>
      </c>
      <c r="L56" s="153"/>
      <c r="M56" s="521" t="str">
        <f t="shared" ref="M56:M75" si="4">IF(L56="Sim",(F56*G56-H56)*D56," ")</f>
        <v xml:space="preserve"> </v>
      </c>
      <c r="N56" s="153"/>
      <c r="O56" s="522" t="str">
        <f t="shared" ref="O56:O75" si="5">IF(N56="Sim",(F56*G56-H56)*D56," ")</f>
        <v xml:space="preserve"> </v>
      </c>
      <c r="P56" s="72" t="s">
        <v>1495</v>
      </c>
      <c r="Q56" s="534">
        <f t="shared" si="2"/>
        <v>20.999999999999996</v>
      </c>
      <c r="R56" s="538" t="s">
        <v>1496</v>
      </c>
      <c r="S56" s="536">
        <f t="shared" ref="S56:S75" si="6">(E56-I56)*D56</f>
        <v>3.77</v>
      </c>
    </row>
    <row r="57" spans="2:19" ht="18" customHeight="1">
      <c r="B57" s="94" t="s">
        <v>1493</v>
      </c>
      <c r="C57" s="95" t="s">
        <v>1524</v>
      </c>
      <c r="D57" s="153">
        <v>1</v>
      </c>
      <c r="E57" s="97">
        <v>38.700000000000003</v>
      </c>
      <c r="F57" s="97">
        <v>24.9</v>
      </c>
      <c r="G57" s="97">
        <v>3</v>
      </c>
      <c r="H57" s="97">
        <f>P5+P3+P8+J12+J12</f>
        <v>18.37</v>
      </c>
      <c r="I57" s="229"/>
      <c r="J57" s="153" t="s">
        <v>1495</v>
      </c>
      <c r="K57">
        <v>56.33</v>
      </c>
      <c r="L57" s="153" t="s">
        <v>1495</v>
      </c>
      <c r="M57" s="521">
        <f t="shared" si="4"/>
        <v>56.329999999999984</v>
      </c>
      <c r="N57" s="153"/>
      <c r="O57" s="522" t="str">
        <f t="shared" si="5"/>
        <v xml:space="preserve"> </v>
      </c>
      <c r="P57" s="72"/>
      <c r="Q57" s="534" t="str">
        <f t="shared" si="2"/>
        <v xml:space="preserve"> </v>
      </c>
      <c r="R57" s="538" t="s">
        <v>1496</v>
      </c>
      <c r="S57" s="536">
        <f t="shared" si="6"/>
        <v>38.700000000000003</v>
      </c>
    </row>
    <row r="58" spans="2:19" ht="18" customHeight="1">
      <c r="B58" s="94" t="s">
        <v>1493</v>
      </c>
      <c r="C58" s="95" t="s">
        <v>1527</v>
      </c>
      <c r="D58" s="153">
        <v>1</v>
      </c>
      <c r="E58" s="97">
        <v>8.27</v>
      </c>
      <c r="F58" s="97">
        <v>11.59</v>
      </c>
      <c r="G58" s="97">
        <v>2.8</v>
      </c>
      <c r="H58" s="97">
        <f>P3+J7</f>
        <v>3.09</v>
      </c>
      <c r="I58" s="229"/>
      <c r="J58" s="153" t="s">
        <v>1495</v>
      </c>
      <c r="K58">
        <v>29.361999999999998</v>
      </c>
      <c r="L58" s="153"/>
      <c r="M58" s="521" t="str">
        <f t="shared" si="4"/>
        <v xml:space="preserve"> </v>
      </c>
      <c r="N58" s="153"/>
      <c r="O58" s="522" t="str">
        <f t="shared" si="5"/>
        <v xml:space="preserve"> </v>
      </c>
      <c r="P58" s="72" t="s">
        <v>1495</v>
      </c>
      <c r="Q58" s="534">
        <f t="shared" si="2"/>
        <v>29.361999999999998</v>
      </c>
      <c r="R58" s="538" t="s">
        <v>1496</v>
      </c>
      <c r="S58" s="536">
        <f t="shared" si="6"/>
        <v>8.27</v>
      </c>
    </row>
    <row r="59" spans="2:19" ht="18" customHeight="1">
      <c r="B59" s="94" t="s">
        <v>1493</v>
      </c>
      <c r="C59" s="95" t="s">
        <v>1528</v>
      </c>
      <c r="D59" s="153">
        <v>1</v>
      </c>
      <c r="E59" s="97">
        <v>135.07</v>
      </c>
      <c r="F59" s="97">
        <v>108.3</v>
      </c>
      <c r="G59" s="97">
        <v>2.8</v>
      </c>
      <c r="H59" s="97">
        <v>85.144000000000005</v>
      </c>
      <c r="I59" s="229"/>
      <c r="J59" s="153" t="s">
        <v>1495</v>
      </c>
      <c r="K59">
        <v>218.096</v>
      </c>
      <c r="L59" s="153" t="s">
        <v>1495</v>
      </c>
      <c r="M59" s="521">
        <f t="shared" si="4"/>
        <v>218.09599999999995</v>
      </c>
      <c r="N59" s="153"/>
      <c r="O59" s="522" t="str">
        <f t="shared" si="5"/>
        <v xml:space="preserve"> </v>
      </c>
      <c r="P59" s="72"/>
      <c r="Q59" s="534" t="str">
        <f t="shared" si="2"/>
        <v xml:space="preserve"> </v>
      </c>
      <c r="R59" s="538" t="s">
        <v>1496</v>
      </c>
      <c r="S59" s="536">
        <f t="shared" si="6"/>
        <v>135.07</v>
      </c>
    </row>
    <row r="60" spans="2:19" ht="18" customHeight="1">
      <c r="B60" s="94" t="s">
        <v>1493</v>
      </c>
      <c r="C60" s="95" t="s">
        <v>1529</v>
      </c>
      <c r="D60" s="153">
        <v>1</v>
      </c>
      <c r="E60" s="97">
        <v>12.63</v>
      </c>
      <c r="F60" s="97">
        <v>18.87</v>
      </c>
      <c r="G60" s="97">
        <v>2.8</v>
      </c>
      <c r="H60" s="97">
        <f>(1*2.1)+J8</f>
        <v>4.5</v>
      </c>
      <c r="I60" s="229"/>
      <c r="J60" s="153" t="s">
        <v>1495</v>
      </c>
      <c r="K60">
        <v>48.335999999999999</v>
      </c>
      <c r="L60" s="153"/>
      <c r="M60" s="521" t="str">
        <f t="shared" si="4"/>
        <v xml:space="preserve"> </v>
      </c>
      <c r="N60" s="153"/>
      <c r="O60" s="522" t="str">
        <f t="shared" si="5"/>
        <v xml:space="preserve"> </v>
      </c>
      <c r="P60" s="72" t="s">
        <v>1495</v>
      </c>
      <c r="Q60" s="534">
        <f t="shared" si="2"/>
        <v>48.335999999999999</v>
      </c>
      <c r="R60" s="538" t="s">
        <v>1496</v>
      </c>
      <c r="S60" s="536">
        <f t="shared" si="6"/>
        <v>12.63</v>
      </c>
    </row>
    <row r="61" spans="2:19" ht="18" customHeight="1">
      <c r="B61" s="94" t="s">
        <v>1493</v>
      </c>
      <c r="C61" s="95" t="s">
        <v>1530</v>
      </c>
      <c r="D61" s="153">
        <v>1</v>
      </c>
      <c r="E61" s="97">
        <v>39.020000000000003</v>
      </c>
      <c r="F61" s="97">
        <v>24.99</v>
      </c>
      <c r="G61" s="97">
        <v>3</v>
      </c>
      <c r="H61" s="97">
        <f>P5+J12+J12+P8</f>
        <v>16.48</v>
      </c>
      <c r="I61" s="229"/>
      <c r="J61" s="153" t="s">
        <v>1495</v>
      </c>
      <c r="K61">
        <v>58.49</v>
      </c>
      <c r="L61" s="153" t="s">
        <v>1495</v>
      </c>
      <c r="M61" s="521">
        <f t="shared" si="4"/>
        <v>58.489999999999995</v>
      </c>
      <c r="N61" s="153"/>
      <c r="O61" s="522" t="str">
        <f t="shared" si="5"/>
        <v xml:space="preserve"> </v>
      </c>
      <c r="P61" s="72"/>
      <c r="Q61" s="534" t="str">
        <f t="shared" si="2"/>
        <v xml:space="preserve"> </v>
      </c>
      <c r="R61" s="538" t="s">
        <v>1496</v>
      </c>
      <c r="S61" s="536">
        <f t="shared" si="6"/>
        <v>39.020000000000003</v>
      </c>
    </row>
    <row r="62" spans="2:19" ht="18" customHeight="1">
      <c r="B62" s="94" t="s">
        <v>1493</v>
      </c>
      <c r="C62" s="95" t="s">
        <v>1520</v>
      </c>
      <c r="D62" s="153">
        <v>1</v>
      </c>
      <c r="E62" s="97">
        <v>18.86</v>
      </c>
      <c r="F62" s="97">
        <v>19.29</v>
      </c>
      <c r="G62" s="97">
        <v>2.61</v>
      </c>
      <c r="H62" s="97">
        <f>P3+J7+J7</f>
        <v>4.29</v>
      </c>
      <c r="I62" s="229"/>
      <c r="J62" s="153" t="s">
        <v>1495</v>
      </c>
      <c r="K62">
        <v>46.056899999999999</v>
      </c>
      <c r="L62" s="153"/>
      <c r="M62" s="521" t="str">
        <f t="shared" si="4"/>
        <v xml:space="preserve"> </v>
      </c>
      <c r="N62" s="153"/>
      <c r="O62" s="522" t="str">
        <f t="shared" si="5"/>
        <v xml:space="preserve"> </v>
      </c>
      <c r="P62" s="72" t="s">
        <v>1495</v>
      </c>
      <c r="Q62" s="534">
        <f t="shared" si="2"/>
        <v>46.056899999999999</v>
      </c>
      <c r="R62" s="538" t="s">
        <v>1496</v>
      </c>
      <c r="S62" s="536">
        <f t="shared" si="6"/>
        <v>18.86</v>
      </c>
    </row>
    <row r="63" spans="2:19" ht="18" customHeight="1">
      <c r="B63" s="94" t="s">
        <v>1493</v>
      </c>
      <c r="C63" s="95" t="s">
        <v>1531</v>
      </c>
      <c r="D63" s="153">
        <v>1</v>
      </c>
      <c r="E63" s="97">
        <v>38.42</v>
      </c>
      <c r="F63" s="97">
        <v>24.8</v>
      </c>
      <c r="G63" s="97">
        <v>3</v>
      </c>
      <c r="H63" s="97">
        <f>P5+J7+J7+P8</f>
        <v>12.88</v>
      </c>
      <c r="I63" s="229"/>
      <c r="J63" s="153" t="s">
        <v>1495</v>
      </c>
      <c r="K63">
        <v>61.52</v>
      </c>
      <c r="L63" s="153" t="s">
        <v>1495</v>
      </c>
      <c r="M63" s="521">
        <f t="shared" si="4"/>
        <v>61.52</v>
      </c>
      <c r="N63" s="153"/>
      <c r="O63" s="522" t="str">
        <f t="shared" si="5"/>
        <v xml:space="preserve"> </v>
      </c>
      <c r="P63" s="72"/>
      <c r="Q63" s="534" t="str">
        <f t="shared" si="2"/>
        <v xml:space="preserve"> </v>
      </c>
      <c r="R63" s="538" t="s">
        <v>1496</v>
      </c>
      <c r="S63" s="536">
        <f t="shared" si="6"/>
        <v>38.42</v>
      </c>
    </row>
    <row r="64" spans="2:19" ht="18" customHeight="1">
      <c r="B64" s="94" t="s">
        <v>1493</v>
      </c>
      <c r="C64" s="95" t="s">
        <v>1532</v>
      </c>
      <c r="D64" s="153">
        <v>1</v>
      </c>
      <c r="E64" s="97">
        <v>38.96</v>
      </c>
      <c r="F64" s="97">
        <v>25</v>
      </c>
      <c r="G64" s="97">
        <v>3</v>
      </c>
      <c r="H64" s="97">
        <f>P5+J7+J7+P8+P3</f>
        <v>14.770000000000001</v>
      </c>
      <c r="I64" s="229"/>
      <c r="J64" s="153" t="s">
        <v>1495</v>
      </c>
      <c r="K64">
        <v>60.23</v>
      </c>
      <c r="L64" s="153" t="s">
        <v>1495</v>
      </c>
      <c r="M64" s="521">
        <f t="shared" si="4"/>
        <v>60.23</v>
      </c>
      <c r="N64" s="153"/>
      <c r="O64" s="522" t="str">
        <f t="shared" si="5"/>
        <v xml:space="preserve"> </v>
      </c>
      <c r="P64" s="72"/>
      <c r="Q64" s="534" t="str">
        <f t="shared" si="2"/>
        <v xml:space="preserve"> </v>
      </c>
      <c r="R64" s="538" t="s">
        <v>1496</v>
      </c>
      <c r="S64" s="536">
        <f t="shared" si="6"/>
        <v>38.96</v>
      </c>
    </row>
    <row r="65" spans="2:19" ht="18" customHeight="1">
      <c r="B65" s="94" t="s">
        <v>1493</v>
      </c>
      <c r="C65" s="95" t="s">
        <v>1520</v>
      </c>
      <c r="D65" s="153">
        <v>1</v>
      </c>
      <c r="E65" s="97">
        <v>16.73</v>
      </c>
      <c r="F65" s="97">
        <v>21.81</v>
      </c>
      <c r="G65" s="97">
        <v>2.61</v>
      </c>
      <c r="H65" s="97">
        <f>J7+P3+P3+J7</f>
        <v>6.1800000000000006</v>
      </c>
      <c r="I65" s="229"/>
      <c r="J65" s="153" t="s">
        <v>1495</v>
      </c>
      <c r="K65">
        <v>50.744100000000003</v>
      </c>
      <c r="L65" s="153"/>
      <c r="M65" s="521" t="str">
        <f t="shared" si="4"/>
        <v xml:space="preserve"> </v>
      </c>
      <c r="N65" s="153"/>
      <c r="O65" s="522" t="str">
        <f t="shared" si="5"/>
        <v xml:space="preserve"> </v>
      </c>
      <c r="P65" s="72" t="s">
        <v>1495</v>
      </c>
      <c r="Q65" s="534">
        <f t="shared" si="2"/>
        <v>50.744099999999996</v>
      </c>
      <c r="R65" s="538" t="s">
        <v>1496</v>
      </c>
      <c r="S65" s="536">
        <f t="shared" si="6"/>
        <v>16.73</v>
      </c>
    </row>
    <row r="66" spans="2:19" ht="18" customHeight="1">
      <c r="B66" s="100" t="s">
        <v>1493</v>
      </c>
      <c r="C66" s="101" t="s">
        <v>1532</v>
      </c>
      <c r="D66" s="248">
        <v>1</v>
      </c>
      <c r="E66" s="102">
        <v>38.96</v>
      </c>
      <c r="F66" s="102">
        <v>25.78</v>
      </c>
      <c r="G66" s="102">
        <v>3</v>
      </c>
      <c r="H66" s="102">
        <f>P5+P3+P8+J12+J12</f>
        <v>18.37</v>
      </c>
      <c r="I66" s="237"/>
      <c r="J66" s="248" t="s">
        <v>1495</v>
      </c>
      <c r="K66">
        <v>58.97</v>
      </c>
      <c r="L66" s="248" t="s">
        <v>1495</v>
      </c>
      <c r="M66" s="557">
        <f t="shared" si="4"/>
        <v>58.97</v>
      </c>
      <c r="N66" s="248"/>
      <c r="O66" s="526" t="str">
        <f t="shared" si="5"/>
        <v xml:space="preserve"> </v>
      </c>
      <c r="P66" s="523"/>
      <c r="Q66" s="539" t="str">
        <f t="shared" si="2"/>
        <v xml:space="preserve"> </v>
      </c>
      <c r="R66" s="567" t="s">
        <v>1496</v>
      </c>
      <c r="S66" s="541">
        <f t="shared" si="6"/>
        <v>38.96</v>
      </c>
    </row>
    <row r="67" spans="2:19" ht="18" customHeight="1">
      <c r="B67" s="249" t="s">
        <v>1493</v>
      </c>
      <c r="C67" s="250" t="s">
        <v>1533</v>
      </c>
      <c r="D67" s="251">
        <v>1</v>
      </c>
      <c r="E67" s="121">
        <v>1104.98</v>
      </c>
      <c r="F67" s="121">
        <v>299</v>
      </c>
      <c r="G67" s="121">
        <v>3.1</v>
      </c>
      <c r="H67" s="121">
        <v>295.27</v>
      </c>
      <c r="I67" s="238">
        <v>1104.98</v>
      </c>
      <c r="J67" s="251" t="s">
        <v>1495</v>
      </c>
      <c r="K67">
        <v>631.63</v>
      </c>
      <c r="L67" s="251"/>
      <c r="M67" s="558" t="str">
        <f t="shared" si="4"/>
        <v xml:space="preserve"> </v>
      </c>
      <c r="N67" s="251" t="s">
        <v>1495</v>
      </c>
      <c r="O67" s="530">
        <f t="shared" si="5"/>
        <v>631.63</v>
      </c>
      <c r="P67" s="527"/>
      <c r="Q67" s="542"/>
      <c r="R67" s="568"/>
      <c r="S67" s="544">
        <f t="shared" si="6"/>
        <v>0</v>
      </c>
    </row>
    <row r="68" spans="2:19" ht="18" customHeight="1">
      <c r="B68" s="252" t="s">
        <v>1534</v>
      </c>
      <c r="C68" s="253" t="s">
        <v>1535</v>
      </c>
      <c r="D68" s="248">
        <v>1</v>
      </c>
      <c r="E68" s="102"/>
      <c r="F68" s="309">
        <f>2*(3.3)*(1.05)</f>
        <v>6.93</v>
      </c>
      <c r="G68" s="310">
        <v>5.36</v>
      </c>
      <c r="H68" s="102"/>
      <c r="I68" s="237"/>
      <c r="J68" s="248" t="s">
        <v>1495</v>
      </c>
      <c r="K68">
        <v>37.144799999999996</v>
      </c>
      <c r="L68" s="153"/>
      <c r="M68" s="521" t="str">
        <f t="shared" si="4"/>
        <v xml:space="preserve"> </v>
      </c>
      <c r="N68" s="153" t="s">
        <v>1495</v>
      </c>
      <c r="O68" s="522">
        <f t="shared" si="5"/>
        <v>37.144800000000004</v>
      </c>
      <c r="P68" s="72"/>
      <c r="Q68" s="534"/>
      <c r="R68" s="538"/>
      <c r="S68" s="536">
        <f t="shared" si="6"/>
        <v>0</v>
      </c>
    </row>
    <row r="69" spans="2:19" ht="18" customHeight="1">
      <c r="B69" s="252" t="s">
        <v>1536</v>
      </c>
      <c r="C69" s="253" t="s">
        <v>1537</v>
      </c>
      <c r="D69" s="248">
        <v>1</v>
      </c>
      <c r="E69" s="102"/>
      <c r="F69" s="303">
        <f>2*(1.18)*(10.5)</f>
        <v>24.779999999999998</v>
      </c>
      <c r="G69" s="304">
        <v>2.5</v>
      </c>
      <c r="H69" s="102"/>
      <c r="I69" s="237"/>
      <c r="J69" s="248" t="s">
        <v>1495</v>
      </c>
      <c r="K69">
        <v>61.95</v>
      </c>
      <c r="L69" s="153"/>
      <c r="M69" s="521" t="str">
        <f t="shared" si="4"/>
        <v xml:space="preserve"> </v>
      </c>
      <c r="N69" s="153" t="s">
        <v>1495</v>
      </c>
      <c r="O69" s="522">
        <f t="shared" si="5"/>
        <v>61.949999999999996</v>
      </c>
      <c r="P69" s="72"/>
      <c r="Q69" s="534"/>
      <c r="R69" s="538"/>
      <c r="S69" s="536">
        <f t="shared" si="6"/>
        <v>0</v>
      </c>
    </row>
    <row r="70" spans="2:19" ht="18" customHeight="1">
      <c r="B70" s="252" t="s">
        <v>1538</v>
      </c>
      <c r="C70" s="253" t="s">
        <v>1539</v>
      </c>
      <c r="D70" s="248">
        <v>1</v>
      </c>
      <c r="E70" s="102"/>
      <c r="F70" s="309">
        <f>(19.87+3.21)*(1.05)</f>
        <v>24.234000000000002</v>
      </c>
      <c r="G70" s="310">
        <v>0.8</v>
      </c>
      <c r="H70" s="102"/>
      <c r="I70" s="237"/>
      <c r="J70" s="248" t="s">
        <v>1495</v>
      </c>
      <c r="K70">
        <v>19.3872</v>
      </c>
      <c r="L70" s="153"/>
      <c r="M70" s="521" t="str">
        <f t="shared" si="4"/>
        <v xml:space="preserve"> </v>
      </c>
      <c r="N70" s="153" t="s">
        <v>1495</v>
      </c>
      <c r="O70" s="522">
        <f t="shared" si="5"/>
        <v>19.387200000000004</v>
      </c>
      <c r="P70" s="72"/>
      <c r="Q70" s="534"/>
      <c r="R70" s="538"/>
      <c r="S70" s="536">
        <f t="shared" si="6"/>
        <v>0</v>
      </c>
    </row>
    <row r="71" spans="2:19" ht="18" customHeight="1">
      <c r="B71" s="254" t="s">
        <v>1493</v>
      </c>
      <c r="C71" s="255" t="s">
        <v>1540</v>
      </c>
      <c r="D71" s="256">
        <v>1</v>
      </c>
      <c r="E71" s="257"/>
      <c r="F71" s="257">
        <v>170.95050000000001</v>
      </c>
      <c r="G71" s="257">
        <v>2.5</v>
      </c>
      <c r="H71" s="257">
        <v>17.5</v>
      </c>
      <c r="I71" s="288"/>
      <c r="J71" s="256" t="s">
        <v>1495</v>
      </c>
      <c r="K71">
        <v>409.87625000000003</v>
      </c>
      <c r="L71" s="256"/>
      <c r="M71" s="559" t="str">
        <f t="shared" si="4"/>
        <v xml:space="preserve"> </v>
      </c>
      <c r="N71" s="256" t="s">
        <v>1495</v>
      </c>
      <c r="O71" s="560">
        <f t="shared" si="5"/>
        <v>409.87625000000003</v>
      </c>
      <c r="P71" s="561"/>
      <c r="Q71" s="569"/>
      <c r="R71" s="570"/>
      <c r="S71" s="571">
        <f t="shared" si="6"/>
        <v>0</v>
      </c>
    </row>
    <row r="72" spans="2:19" ht="18" customHeight="1">
      <c r="B72" s="258" t="s">
        <v>1541</v>
      </c>
      <c r="C72" s="259" t="s">
        <v>1542</v>
      </c>
      <c r="D72" s="153">
        <v>4</v>
      </c>
      <c r="E72" s="97"/>
      <c r="F72" s="97">
        <v>6.76</v>
      </c>
      <c r="G72" s="97">
        <v>1.05</v>
      </c>
      <c r="H72" s="97"/>
      <c r="I72" s="229"/>
      <c r="J72" s="520" t="s">
        <v>1495</v>
      </c>
      <c r="K72">
        <v>28.391999999999999</v>
      </c>
      <c r="L72" s="520"/>
      <c r="M72" s="521" t="str">
        <f t="shared" si="4"/>
        <v xml:space="preserve"> </v>
      </c>
      <c r="N72" s="520" t="s">
        <v>1495</v>
      </c>
      <c r="O72" s="522">
        <f t="shared" si="5"/>
        <v>28.391999999999999</v>
      </c>
      <c r="P72" s="72"/>
      <c r="Q72" s="534" t="str">
        <f>IF(P72="Sim",(F72*G72-H72)*D72," ")</f>
        <v xml:space="preserve"> </v>
      </c>
      <c r="R72" s="535"/>
      <c r="S72" s="536">
        <f t="shared" si="6"/>
        <v>0</v>
      </c>
    </row>
    <row r="73" spans="2:19" ht="18" customHeight="1">
      <c r="B73" s="258" t="s">
        <v>1541</v>
      </c>
      <c r="C73" s="159" t="s">
        <v>1543</v>
      </c>
      <c r="D73" s="153">
        <v>1</v>
      </c>
      <c r="E73" s="97"/>
      <c r="F73" s="97">
        <f>(25.79)*(1.05)</f>
        <v>27.079499999999999</v>
      </c>
      <c r="G73" s="97">
        <v>2.7</v>
      </c>
      <c r="H73" s="97"/>
      <c r="I73" s="229"/>
      <c r="J73" s="520" t="s">
        <v>1495</v>
      </c>
      <c r="K73">
        <v>73.114649999999997</v>
      </c>
      <c r="L73" s="520"/>
      <c r="M73" s="521" t="str">
        <f t="shared" si="4"/>
        <v xml:space="preserve"> </v>
      </c>
      <c r="N73" s="520" t="s">
        <v>1495</v>
      </c>
      <c r="O73" s="522">
        <f t="shared" si="5"/>
        <v>73.114649999999997</v>
      </c>
      <c r="P73" s="72"/>
      <c r="Q73" s="534" t="str">
        <f>IF(P73="Sim",(F73*G73-H73)*D73," ")</f>
        <v xml:space="preserve"> </v>
      </c>
      <c r="R73" s="537"/>
      <c r="S73" s="536">
        <f t="shared" si="6"/>
        <v>0</v>
      </c>
    </row>
    <row r="74" spans="2:19" ht="18" customHeight="1">
      <c r="B74" s="258" t="s">
        <v>1544</v>
      </c>
      <c r="C74" s="159" t="s">
        <v>1545</v>
      </c>
      <c r="D74" s="153">
        <v>1</v>
      </c>
      <c r="E74" s="97"/>
      <c r="F74" s="97">
        <f>(43.42+52.87+50.39+56.85+75.7)*(1.05)</f>
        <v>293.19150000000002</v>
      </c>
      <c r="G74" s="97">
        <v>1.5</v>
      </c>
      <c r="H74" s="97"/>
      <c r="I74" s="229"/>
      <c r="J74" s="520" t="s">
        <v>1495</v>
      </c>
      <c r="K74">
        <v>439.78724999999997</v>
      </c>
      <c r="L74" s="520"/>
      <c r="M74" s="521" t="str">
        <f t="shared" si="4"/>
        <v xml:space="preserve"> </v>
      </c>
      <c r="N74" s="153" t="s">
        <v>1495</v>
      </c>
      <c r="O74" s="522">
        <f t="shared" si="5"/>
        <v>439.78725000000003</v>
      </c>
      <c r="P74" s="72"/>
      <c r="Q74" s="534" t="str">
        <f>IF(P74="Sim",(F74*G74-H74)*D74," ")</f>
        <v xml:space="preserve"> </v>
      </c>
      <c r="R74" s="538"/>
      <c r="S74" s="536">
        <f t="shared" si="6"/>
        <v>0</v>
      </c>
    </row>
    <row r="75" spans="2:19" ht="18" customHeight="1">
      <c r="B75" s="260" t="s">
        <v>1544</v>
      </c>
      <c r="C75" s="261" t="s">
        <v>1546</v>
      </c>
      <c r="D75" s="262">
        <v>1</v>
      </c>
      <c r="E75" s="263"/>
      <c r="F75" s="264">
        <f>(25.79)*(1.05)</f>
        <v>27.079499999999999</v>
      </c>
      <c r="G75" s="264">
        <v>2.7</v>
      </c>
      <c r="H75" s="263"/>
      <c r="I75" s="289"/>
      <c r="J75" s="562" t="s">
        <v>1495</v>
      </c>
      <c r="K75">
        <v>73.114649999999997</v>
      </c>
      <c r="L75" s="562"/>
      <c r="M75" s="559" t="str">
        <f t="shared" si="4"/>
        <v xml:space="preserve"> </v>
      </c>
      <c r="N75" s="256" t="s">
        <v>1495</v>
      </c>
      <c r="O75" s="560">
        <f t="shared" si="5"/>
        <v>73.114649999999997</v>
      </c>
      <c r="P75" s="561"/>
      <c r="Q75" s="569" t="str">
        <f>IF(P75="Sim",(F75*G75-H75)*D75," ")</f>
        <v xml:space="preserve"> </v>
      </c>
      <c r="R75" s="570"/>
      <c r="S75" s="571">
        <f t="shared" si="6"/>
        <v>0</v>
      </c>
    </row>
    <row r="76" spans="2:19">
      <c r="G76" s="545" t="s">
        <v>1376</v>
      </c>
      <c r="H76" s="546">
        <f>SUM(H24:H73)</f>
        <v>860.27300000000002</v>
      </c>
      <c r="I76" s="545">
        <f>SUM(I24:I73)</f>
        <v>1113.8700000000001</v>
      </c>
      <c r="J76" s="545"/>
      <c r="K76" s="563">
        <f>ROUND(SUM(K24:K75),2)</f>
        <v>3775.56</v>
      </c>
      <c r="L76" s="564"/>
      <c r="M76" s="565">
        <f>ROUND(SUM(M24:M75),2)</f>
        <v>1155.07</v>
      </c>
      <c r="N76" s="564"/>
      <c r="O76" s="566">
        <f>ROUND(SUM(O24:O75),2)</f>
        <v>1774.4</v>
      </c>
      <c r="P76" s="564"/>
      <c r="Q76" s="566">
        <f>ROUND(SUM(Q24:Q75),2)</f>
        <v>846.09</v>
      </c>
      <c r="R76" s="545"/>
      <c r="S76" s="566">
        <f>ROUND(SUM(S24:S75),2)</f>
        <v>1030.67</v>
      </c>
    </row>
    <row r="81" spans="2:9" s="1" customFormat="1" ht="19.5">
      <c r="B81" s="547" t="s">
        <v>1547</v>
      </c>
      <c r="C81" s="547"/>
      <c r="D81" s="548"/>
      <c r="E81" s="548"/>
    </row>
    <row r="82" spans="2:9" s="1" customFormat="1" ht="15.75">
      <c r="B82" s="549" t="s">
        <v>1548</v>
      </c>
      <c r="C82" s="34"/>
    </row>
    <row r="83" spans="2:9" s="1" customFormat="1"/>
    <row r="84" spans="2:9" ht="24.75" customHeight="1">
      <c r="C84" s="128" t="s">
        <v>1549</v>
      </c>
      <c r="D84" s="128"/>
    </row>
    <row r="85" spans="2:9" ht="18" customHeight="1">
      <c r="C85" s="92" t="s">
        <v>1550</v>
      </c>
      <c r="D85" s="92" t="s">
        <v>1483</v>
      </c>
      <c r="H85" s="550" t="s">
        <v>1482</v>
      </c>
    </row>
    <row r="86" spans="2:9" ht="18" customHeight="1">
      <c r="C86" s="269" t="s">
        <v>1488</v>
      </c>
      <c r="D86" s="551">
        <f>ROUND(K76*1.05,2)</f>
        <v>3964.34</v>
      </c>
      <c r="E86" s="1" t="s">
        <v>1551</v>
      </c>
      <c r="H86" s="552"/>
    </row>
    <row r="87" spans="2:9" ht="18" customHeight="1">
      <c r="C87" s="273" t="s">
        <v>1552</v>
      </c>
      <c r="D87" s="551">
        <f>ROUND(M76*1.05,2)</f>
        <v>1212.82</v>
      </c>
      <c r="E87" s="1" t="s">
        <v>1551</v>
      </c>
      <c r="H87" s="176"/>
    </row>
    <row r="88" spans="2:9" ht="18" customHeight="1">
      <c r="C88" s="273" t="s">
        <v>1490</v>
      </c>
      <c r="D88" s="551">
        <f>ROUND(O76*1.05,2)</f>
        <v>1863.12</v>
      </c>
      <c r="E88" s="1" t="s">
        <v>1551</v>
      </c>
      <c r="H88" s="176"/>
    </row>
    <row r="89" spans="2:9" ht="18" customHeight="1">
      <c r="C89" s="273" t="s">
        <v>1491</v>
      </c>
      <c r="D89" s="551">
        <f>ROUND(Q76*1.05,2)</f>
        <v>888.39</v>
      </c>
      <c r="E89" s="1" t="s">
        <v>1551</v>
      </c>
      <c r="H89" s="34"/>
    </row>
    <row r="90" spans="2:9">
      <c r="E90" s="200"/>
      <c r="F90" s="200"/>
      <c r="G90" s="200"/>
      <c r="H90" s="200"/>
      <c r="I90" s="200"/>
    </row>
    <row r="91" spans="2:9" s="1" customFormat="1">
      <c r="H91" s="553"/>
      <c r="I91" s="553"/>
    </row>
    <row r="92" spans="2:9" ht="24.75" customHeight="1">
      <c r="C92" s="128" t="s">
        <v>1479</v>
      </c>
      <c r="D92" s="128"/>
      <c r="E92" s="128"/>
      <c r="G92" s="554"/>
      <c r="H92" s="200"/>
      <c r="I92" s="553"/>
    </row>
    <row r="93" spans="2:9" s="1" customFormat="1" ht="18" customHeight="1">
      <c r="C93" s="92" t="s">
        <v>1550</v>
      </c>
      <c r="D93" s="92" t="s">
        <v>1483</v>
      </c>
      <c r="E93" s="92" t="s">
        <v>1553</v>
      </c>
      <c r="H93" s="200"/>
      <c r="I93" s="553"/>
    </row>
    <row r="94" spans="2:9" s="1" customFormat="1" ht="18" customHeight="1">
      <c r="C94" s="269" t="s">
        <v>1496</v>
      </c>
      <c r="D94" s="555">
        <f ca="1">ROUND(SUMIF(R24:S73,"Gesso",S24:S73)*1.05,2)</f>
        <v>1082.2</v>
      </c>
      <c r="E94" s="555"/>
      <c r="F94" s="1" t="s">
        <v>1551</v>
      </c>
      <c r="H94" s="200"/>
      <c r="I94" s="553"/>
    </row>
    <row r="95" spans="2:9" s="1" customFormat="1" ht="18" customHeight="1">
      <c r="C95" s="269" t="s">
        <v>1554</v>
      </c>
      <c r="D95" s="277">
        <f ca="1">ROUND(SUMIF(R24:S74,"Forro FGA",S24:S74)*1.05,2)</f>
        <v>0</v>
      </c>
      <c r="E95" s="555">
        <f>ROUND(SUM(F24:F66),2)</f>
        <v>884.08</v>
      </c>
      <c r="F95" s="1" t="s">
        <v>1551</v>
      </c>
      <c r="I95" s="176"/>
    </row>
    <row r="96" spans="2:9" s="1" customFormat="1" ht="18" customHeight="1">
      <c r="C96" s="317"/>
      <c r="D96" s="556"/>
      <c r="E96" s="556"/>
      <c r="I96" s="176"/>
    </row>
    <row r="97" spans="3:4" ht="18" customHeight="1">
      <c r="C97" s="275"/>
      <c r="D97" s="275"/>
    </row>
  </sheetData>
  <pageMargins left="0.51041666666666696" right="0.235416666666667" top="0.43263888888888902" bottom="0.78749999999999998" header="0.31388888888888899" footer="0.51041666666666696"/>
  <pageSetup paperSize="9" scale="50" firstPageNumber="0" orientation="landscape" useFirstPageNumber="1" horizontalDpi="300" verticalDpi="300"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6"/>
  <sheetViews>
    <sheetView topLeftCell="A91" zoomScale="90" zoomScaleNormal="90" workbookViewId="0">
      <selection activeCell="I114" sqref="I114"/>
    </sheetView>
  </sheetViews>
  <sheetFormatPr defaultColWidth="9" defaultRowHeight="15"/>
  <cols>
    <col min="4" max="4" width="11.42578125" customWidth="1"/>
    <col min="6" max="6" width="10.42578125" customWidth="1"/>
    <col min="7" max="7" width="10.140625" customWidth="1"/>
  </cols>
  <sheetData>
    <row r="1" spans="1:20">
      <c r="A1" s="1191" t="s">
        <v>1555</v>
      </c>
      <c r="B1" s="1191"/>
      <c r="C1" s="1191"/>
      <c r="D1" s="1191"/>
      <c r="F1" s="1192" t="s">
        <v>1556</v>
      </c>
      <c r="G1" s="1193"/>
      <c r="H1" s="1193"/>
      <c r="I1" s="1193"/>
      <c r="J1" s="1193"/>
      <c r="K1" s="1194"/>
    </row>
    <row r="2" spans="1:20">
      <c r="A2" s="477" t="s">
        <v>1557</v>
      </c>
      <c r="B2" s="477" t="s">
        <v>1558</v>
      </c>
      <c r="C2" s="477" t="s">
        <v>1559</v>
      </c>
      <c r="D2" s="477" t="s">
        <v>1560</v>
      </c>
      <c r="F2" s="477" t="s">
        <v>1557</v>
      </c>
      <c r="G2" s="477" t="s">
        <v>1558</v>
      </c>
      <c r="H2" s="477" t="s">
        <v>1559</v>
      </c>
      <c r="I2" s="477" t="s">
        <v>1560</v>
      </c>
      <c r="J2" s="477"/>
      <c r="K2" s="477"/>
      <c r="N2" s="1195" t="s">
        <v>1561</v>
      </c>
      <c r="O2" s="1195"/>
      <c r="P2" s="1195"/>
      <c r="Q2" s="1195"/>
      <c r="R2" s="1195"/>
      <c r="S2" s="1195"/>
      <c r="T2" s="477"/>
    </row>
    <row r="3" spans="1:20">
      <c r="A3" s="477">
        <v>58</v>
      </c>
      <c r="B3" s="477">
        <v>0.3</v>
      </c>
      <c r="C3" s="478">
        <v>3</v>
      </c>
      <c r="D3" s="479">
        <v>12.29</v>
      </c>
      <c r="F3" s="477">
        <v>58</v>
      </c>
      <c r="G3" s="477">
        <v>0.3</v>
      </c>
      <c r="H3" s="478">
        <v>3</v>
      </c>
      <c r="I3" s="479">
        <f>D3</f>
        <v>12.29</v>
      </c>
      <c r="J3" s="477"/>
      <c r="K3" s="477"/>
      <c r="N3" s="477"/>
      <c r="O3" s="477"/>
      <c r="P3" s="477"/>
      <c r="Q3" s="477"/>
      <c r="R3" s="477"/>
      <c r="S3" s="477"/>
      <c r="T3" s="477"/>
    </row>
    <row r="4" spans="1:20">
      <c r="A4" s="477"/>
      <c r="B4" s="477"/>
      <c r="C4" s="477"/>
      <c r="D4" s="477"/>
      <c r="F4" s="477"/>
      <c r="G4" s="477"/>
      <c r="H4" s="477"/>
      <c r="I4" s="477"/>
      <c r="J4" s="477"/>
      <c r="K4" s="477"/>
      <c r="N4" s="1196" t="s">
        <v>1562</v>
      </c>
      <c r="O4" s="1196"/>
      <c r="P4" s="1196"/>
      <c r="Q4" s="1196"/>
      <c r="R4" s="1196"/>
      <c r="S4" s="1196"/>
      <c r="T4" s="498"/>
    </row>
    <row r="5" spans="1:20">
      <c r="A5" s="1197" t="s">
        <v>1563</v>
      </c>
      <c r="B5" s="1191"/>
      <c r="C5" s="1191"/>
      <c r="D5" s="1191"/>
      <c r="F5" s="1192" t="s">
        <v>1564</v>
      </c>
      <c r="G5" s="1193"/>
      <c r="H5" s="1193"/>
      <c r="I5" s="1193"/>
      <c r="J5" s="1193"/>
      <c r="K5" s="1194"/>
      <c r="N5" s="477" t="s">
        <v>1565</v>
      </c>
      <c r="O5" s="477" t="s">
        <v>1566</v>
      </c>
      <c r="P5" s="493" t="s">
        <v>1567</v>
      </c>
      <c r="Q5" s="499" t="s">
        <v>1568</v>
      </c>
      <c r="R5" s="477" t="s">
        <v>1569</v>
      </c>
      <c r="S5" s="478" t="s">
        <v>1570</v>
      </c>
      <c r="T5" s="478"/>
    </row>
    <row r="6" spans="1:20">
      <c r="A6" s="477" t="s">
        <v>1557</v>
      </c>
      <c r="B6" s="477" t="s">
        <v>1558</v>
      </c>
      <c r="C6" s="477" t="s">
        <v>1559</v>
      </c>
      <c r="D6" s="477" t="s">
        <v>1560</v>
      </c>
      <c r="F6" s="477" t="s">
        <v>1557</v>
      </c>
      <c r="G6" s="477" t="s">
        <v>1558</v>
      </c>
      <c r="H6" s="477" t="s">
        <v>1559</v>
      </c>
      <c r="I6" s="477">
        <f>D7</f>
        <v>42.41</v>
      </c>
      <c r="J6" s="477"/>
      <c r="K6" s="477"/>
      <c r="N6" s="477" t="s">
        <v>1571</v>
      </c>
      <c r="O6" s="477" t="s">
        <v>1572</v>
      </c>
      <c r="P6" s="477">
        <v>626.4</v>
      </c>
      <c r="Q6" s="477">
        <v>0.4</v>
      </c>
      <c r="R6" s="477">
        <f>P6*Q6</f>
        <v>250.56</v>
      </c>
      <c r="S6" s="478">
        <v>275.61599999999999</v>
      </c>
      <c r="T6" s="478"/>
    </row>
    <row r="7" spans="1:20">
      <c r="A7" s="477">
        <v>75</v>
      </c>
      <c r="B7" s="477">
        <v>0.3</v>
      </c>
      <c r="C7" s="478">
        <v>8</v>
      </c>
      <c r="D7" s="479">
        <v>42.41</v>
      </c>
      <c r="F7" s="477">
        <v>75</v>
      </c>
      <c r="G7" s="477">
        <v>0.3</v>
      </c>
      <c r="H7" s="478">
        <v>8</v>
      </c>
      <c r="I7" s="479"/>
      <c r="J7" s="477"/>
      <c r="K7" s="477"/>
      <c r="N7" s="477" t="s">
        <v>1573</v>
      </c>
      <c r="O7" s="477" t="s">
        <v>1574</v>
      </c>
      <c r="P7" s="477">
        <v>876.96</v>
      </c>
      <c r="Q7" s="477">
        <v>0.16</v>
      </c>
      <c r="R7" s="477">
        <f>P7*Q7</f>
        <v>140.31360000000001</v>
      </c>
      <c r="S7" s="478">
        <v>154.34495999999999</v>
      </c>
      <c r="T7" s="478"/>
    </row>
    <row r="8" spans="1:20">
      <c r="A8" s="477"/>
      <c r="B8" s="477"/>
      <c r="C8" s="477"/>
      <c r="D8" s="477"/>
      <c r="F8" s="477"/>
      <c r="G8" s="477"/>
      <c r="H8" s="477"/>
      <c r="I8" s="477"/>
      <c r="J8" s="477"/>
      <c r="K8" s="477"/>
      <c r="N8" s="477"/>
      <c r="O8" s="477"/>
      <c r="P8" s="477"/>
      <c r="Q8" s="477"/>
      <c r="R8" s="477"/>
      <c r="S8" s="477"/>
      <c r="T8" s="477"/>
    </row>
    <row r="9" spans="1:20">
      <c r="A9" s="374" t="s">
        <v>1575</v>
      </c>
      <c r="B9" s="477"/>
      <c r="C9" s="477"/>
      <c r="D9" s="477">
        <f>SUM(D7,D3)</f>
        <v>54.699999999999996</v>
      </c>
      <c r="F9" s="374" t="s">
        <v>1576</v>
      </c>
      <c r="G9" s="477"/>
      <c r="H9" s="477"/>
      <c r="I9" s="477">
        <f>SUM(I6,I3)</f>
        <v>54.699999999999996</v>
      </c>
      <c r="J9" s="477"/>
      <c r="K9" s="477"/>
      <c r="N9" s="1198" t="s">
        <v>1577</v>
      </c>
      <c r="O9" s="1198"/>
      <c r="P9" s="1198"/>
      <c r="Q9" s="1198"/>
      <c r="R9" s="1198"/>
      <c r="S9" s="1198"/>
      <c r="T9" s="1198"/>
    </row>
    <row r="10" spans="1:20">
      <c r="F10" s="477" t="s">
        <v>1578</v>
      </c>
      <c r="G10" s="477"/>
      <c r="H10" s="477"/>
      <c r="I10" s="477"/>
      <c r="K10" s="494">
        <f>(F3*H3)+(F7*H7)</f>
        <v>774</v>
      </c>
      <c r="N10" s="477" t="s">
        <v>1565</v>
      </c>
      <c r="O10" s="477" t="s">
        <v>1566</v>
      </c>
      <c r="P10" s="493" t="s">
        <v>1567</v>
      </c>
      <c r="Q10" s="499" t="s">
        <v>1568</v>
      </c>
      <c r="R10" s="477" t="s">
        <v>1569</v>
      </c>
      <c r="S10" s="478" t="s">
        <v>1570</v>
      </c>
      <c r="T10" s="478"/>
    </row>
    <row r="11" spans="1:20">
      <c r="N11" s="477" t="s">
        <v>1571</v>
      </c>
      <c r="O11" s="477" t="s">
        <v>1572</v>
      </c>
      <c r="P11" s="477">
        <v>2160</v>
      </c>
      <c r="Q11" s="477">
        <v>0.4</v>
      </c>
      <c r="R11" s="477">
        <f>P11*Q11</f>
        <v>864</v>
      </c>
      <c r="S11" s="478">
        <f>R11*1.1</f>
        <v>950.40000000000009</v>
      </c>
      <c r="T11" s="478"/>
    </row>
    <row r="12" spans="1:20">
      <c r="A12" s="1199" t="s">
        <v>1579</v>
      </c>
      <c r="B12" s="1199"/>
      <c r="C12" s="1199"/>
      <c r="D12" s="1199"/>
      <c r="E12" s="1199"/>
      <c r="G12" s="480" t="s">
        <v>1580</v>
      </c>
      <c r="H12" s="481"/>
      <c r="I12" s="481"/>
      <c r="J12" s="481"/>
      <c r="K12" s="480" t="s">
        <v>1581</v>
      </c>
      <c r="L12" s="495"/>
      <c r="N12" s="477" t="s">
        <v>1573</v>
      </c>
      <c r="O12" s="477" t="s">
        <v>1574</v>
      </c>
      <c r="P12" s="477">
        <v>3024</v>
      </c>
      <c r="Q12" s="477">
        <v>0.16</v>
      </c>
      <c r="R12" s="477">
        <f>P12*Q12</f>
        <v>483.84000000000003</v>
      </c>
      <c r="S12" s="478">
        <f>R12*1.1</f>
        <v>532.22400000000005</v>
      </c>
      <c r="T12" s="478"/>
    </row>
    <row r="13" spans="1:20">
      <c r="A13" s="482" t="s">
        <v>1582</v>
      </c>
      <c r="B13" s="482" t="s">
        <v>1583</v>
      </c>
      <c r="C13" s="478" t="s">
        <v>1559</v>
      </c>
      <c r="D13" s="478" t="s">
        <v>1560</v>
      </c>
      <c r="E13" s="477"/>
      <c r="G13" s="482" t="s">
        <v>1582</v>
      </c>
      <c r="H13" s="482" t="s">
        <v>1583</v>
      </c>
      <c r="I13" s="478" t="s">
        <v>1559</v>
      </c>
      <c r="J13" s="478" t="s">
        <v>1584</v>
      </c>
      <c r="K13" s="477"/>
      <c r="L13" s="482"/>
      <c r="N13" s="477"/>
      <c r="O13" s="477"/>
      <c r="P13" s="477"/>
      <c r="Q13" s="477"/>
      <c r="R13" s="477"/>
      <c r="S13" s="477"/>
      <c r="T13" s="477"/>
    </row>
    <row r="14" spans="1:20">
      <c r="A14" s="478">
        <v>202.02</v>
      </c>
      <c r="B14" s="477">
        <v>0.35</v>
      </c>
      <c r="C14" s="478">
        <v>0.4</v>
      </c>
      <c r="D14" s="483">
        <f>B14*C14*A14</f>
        <v>28.282799999999998</v>
      </c>
      <c r="E14" s="477"/>
      <c r="G14" s="478">
        <v>202.02</v>
      </c>
      <c r="H14" s="477">
        <v>0.15</v>
      </c>
      <c r="I14" s="478">
        <v>0.3</v>
      </c>
      <c r="J14" s="483">
        <f>H14*I14*G14</f>
        <v>9.0908999999999995</v>
      </c>
      <c r="K14" s="477"/>
      <c r="L14" s="478"/>
      <c r="N14" s="1196" t="s">
        <v>1585</v>
      </c>
      <c r="O14" s="1196"/>
      <c r="P14" s="1196"/>
      <c r="Q14" s="1196"/>
      <c r="R14" s="1196"/>
      <c r="S14" s="1196"/>
      <c r="T14" s="1196"/>
    </row>
    <row r="15" spans="1:20">
      <c r="A15" s="477"/>
      <c r="B15" s="477"/>
      <c r="C15" s="477"/>
      <c r="D15" s="477"/>
      <c r="E15" s="477"/>
      <c r="G15" s="477"/>
      <c r="H15" s="477"/>
      <c r="I15" s="477"/>
      <c r="J15" s="477"/>
      <c r="K15" s="496"/>
      <c r="L15" s="496"/>
      <c r="N15" s="477" t="s">
        <v>1565</v>
      </c>
      <c r="O15" s="477" t="s">
        <v>1566</v>
      </c>
      <c r="P15" s="493" t="s">
        <v>1567</v>
      </c>
      <c r="Q15" s="499" t="s">
        <v>1568</v>
      </c>
      <c r="R15" s="477" t="s">
        <v>1569</v>
      </c>
      <c r="S15" s="478" t="s">
        <v>1570</v>
      </c>
      <c r="T15" s="478"/>
    </row>
    <row r="16" spans="1:20">
      <c r="A16" s="1199" t="s">
        <v>1586</v>
      </c>
      <c r="B16" s="1199"/>
      <c r="C16" s="1199"/>
      <c r="D16" s="1199"/>
      <c r="E16" s="1199"/>
      <c r="G16" s="1199" t="s">
        <v>1587</v>
      </c>
      <c r="H16" s="1199"/>
      <c r="I16" s="1199"/>
      <c r="J16" s="1199"/>
      <c r="K16" s="1199"/>
      <c r="L16" s="1199"/>
      <c r="N16" s="477" t="s">
        <v>1571</v>
      </c>
      <c r="O16" s="477" t="s">
        <v>1572</v>
      </c>
      <c r="P16" s="477">
        <v>3098.9</v>
      </c>
      <c r="Q16" s="477">
        <v>0.4</v>
      </c>
      <c r="R16" s="477">
        <f>P16*Q16</f>
        <v>1239.5600000000002</v>
      </c>
      <c r="S16" s="478">
        <f>R16*1.1</f>
        <v>1363.5160000000003</v>
      </c>
      <c r="T16" s="478"/>
    </row>
    <row r="17" spans="1:21">
      <c r="A17" s="374" t="s">
        <v>1582</v>
      </c>
      <c r="B17" s="374" t="s">
        <v>1583</v>
      </c>
      <c r="C17" s="477" t="s">
        <v>1559</v>
      </c>
      <c r="D17" s="477" t="s">
        <v>1560</v>
      </c>
      <c r="E17" s="477"/>
      <c r="G17" s="482" t="s">
        <v>1582</v>
      </c>
      <c r="H17" s="482" t="s">
        <v>1583</v>
      </c>
      <c r="I17" s="478" t="s">
        <v>1559</v>
      </c>
      <c r="J17" s="478" t="s">
        <v>1560</v>
      </c>
      <c r="K17" s="477"/>
      <c r="L17" s="477"/>
      <c r="N17" s="477"/>
      <c r="O17" s="477"/>
      <c r="P17" s="477"/>
      <c r="Q17" s="477"/>
      <c r="R17" s="477"/>
      <c r="S17" s="477"/>
      <c r="T17" s="477"/>
    </row>
    <row r="18" spans="1:21">
      <c r="A18" s="477">
        <v>533.76</v>
      </c>
      <c r="B18" s="477">
        <v>0.4</v>
      </c>
      <c r="C18" s="478">
        <v>0.4</v>
      </c>
      <c r="D18" s="479">
        <f>B18*C18*A18</f>
        <v>85.401600000000016</v>
      </c>
      <c r="E18" s="477"/>
      <c r="G18" s="478">
        <v>533.76</v>
      </c>
      <c r="H18" s="477">
        <v>0.2</v>
      </c>
      <c r="I18" s="478">
        <v>0.3</v>
      </c>
      <c r="J18" s="483">
        <f>H18*I18*G18</f>
        <v>32.025599999999997</v>
      </c>
      <c r="K18" s="477"/>
      <c r="L18" s="477"/>
      <c r="N18" s="1196" t="s">
        <v>1588</v>
      </c>
      <c r="O18" s="1196"/>
      <c r="P18" s="1196"/>
      <c r="Q18" s="1196"/>
      <c r="R18" s="1196"/>
      <c r="S18" s="1196"/>
      <c r="T18" s="1196"/>
    </row>
    <row r="19" spans="1:21">
      <c r="A19" s="477"/>
      <c r="B19" s="477"/>
      <c r="C19" s="477"/>
      <c r="D19" s="477"/>
      <c r="E19" s="477"/>
      <c r="G19" s="477"/>
      <c r="H19" s="477"/>
      <c r="I19" s="477"/>
      <c r="J19" s="477"/>
      <c r="K19" s="477"/>
      <c r="L19" s="477"/>
      <c r="N19" s="477" t="s">
        <v>1565</v>
      </c>
      <c r="O19" s="477" t="s">
        <v>1566</v>
      </c>
      <c r="P19" s="493" t="s">
        <v>1567</v>
      </c>
      <c r="Q19" s="499" t="s">
        <v>1568</v>
      </c>
      <c r="R19" s="477" t="s">
        <v>1569</v>
      </c>
      <c r="S19" s="478" t="s">
        <v>1570</v>
      </c>
      <c r="T19" s="478"/>
    </row>
    <row r="20" spans="1:21">
      <c r="A20" s="374" t="s">
        <v>1589</v>
      </c>
      <c r="B20" s="477"/>
      <c r="C20" s="477"/>
      <c r="D20" s="477"/>
      <c r="E20" s="477">
        <f>SUM(D18,D14)</f>
        <v>113.68440000000001</v>
      </c>
      <c r="G20" s="374" t="s">
        <v>1590</v>
      </c>
      <c r="H20" s="477"/>
      <c r="I20" s="477"/>
      <c r="J20" s="477"/>
      <c r="K20" s="477">
        <f>J18+J14</f>
        <v>41.116499999999995</v>
      </c>
      <c r="L20" s="477"/>
      <c r="N20" s="477" t="s">
        <v>1571</v>
      </c>
      <c r="O20" s="477" t="s">
        <v>1591</v>
      </c>
      <c r="P20" s="477">
        <v>2191.56</v>
      </c>
      <c r="Q20" s="477">
        <v>0.63</v>
      </c>
      <c r="R20" s="477">
        <f>P20*Q20</f>
        <v>1380.6828</v>
      </c>
      <c r="S20" s="1200">
        <f>R20*1.1</f>
        <v>1518.7510800000002</v>
      </c>
      <c r="T20" s="1200"/>
    </row>
    <row r="21" spans="1:21">
      <c r="N21" s="477" t="s">
        <v>1573</v>
      </c>
      <c r="O21" s="477" t="s">
        <v>1574</v>
      </c>
      <c r="P21" s="477">
        <v>3214.22</v>
      </c>
      <c r="Q21" s="477">
        <v>0.16</v>
      </c>
      <c r="R21" s="477">
        <f>P21*Q21</f>
        <v>514.27519999999993</v>
      </c>
      <c r="S21" s="1200">
        <f>R21*1.1</f>
        <v>565.70272</v>
      </c>
      <c r="T21" s="1200"/>
    </row>
    <row r="22" spans="1:21">
      <c r="N22" s="477"/>
      <c r="O22" s="477"/>
      <c r="P22" s="477"/>
      <c r="Q22" s="477"/>
      <c r="R22" s="477"/>
      <c r="S22" s="477"/>
      <c r="T22" s="477"/>
    </row>
    <row r="23" spans="1:21">
      <c r="A23" s="1201" t="s">
        <v>1592</v>
      </c>
      <c r="B23" s="1201"/>
      <c r="C23" s="1201"/>
      <c r="D23" s="1201"/>
      <c r="E23" s="1201"/>
      <c r="G23" s="1202" t="s">
        <v>1593</v>
      </c>
      <c r="H23" s="1202"/>
      <c r="I23" s="1202"/>
      <c r="J23" s="1202"/>
      <c r="K23" s="1202"/>
      <c r="N23" s="1196" t="s">
        <v>1594</v>
      </c>
      <c r="O23" s="1196"/>
      <c r="P23" s="1196"/>
      <c r="Q23" s="1196"/>
      <c r="R23" s="1196"/>
      <c r="S23" s="1196"/>
      <c r="T23" s="1196"/>
    </row>
    <row r="24" spans="1:21">
      <c r="A24" s="477" t="s">
        <v>1557</v>
      </c>
      <c r="B24" s="477" t="s">
        <v>1595</v>
      </c>
      <c r="C24" s="477" t="s">
        <v>1596</v>
      </c>
      <c r="D24" s="477" t="s">
        <v>1559</v>
      </c>
      <c r="E24" s="374" t="s">
        <v>1560</v>
      </c>
      <c r="G24" s="374" t="s">
        <v>1557</v>
      </c>
      <c r="H24" s="482" t="s">
        <v>1595</v>
      </c>
      <c r="I24" s="482" t="s">
        <v>1583</v>
      </c>
      <c r="J24" s="478" t="s">
        <v>1559</v>
      </c>
      <c r="K24" s="478" t="s">
        <v>1560</v>
      </c>
      <c r="N24" s="477" t="s">
        <v>1565</v>
      </c>
      <c r="O24" s="477" t="s">
        <v>1566</v>
      </c>
      <c r="P24" s="493" t="s">
        <v>1567</v>
      </c>
      <c r="Q24" s="499" t="s">
        <v>1568</v>
      </c>
      <c r="R24" s="477" t="s">
        <v>1569</v>
      </c>
      <c r="S24" s="1203" t="s">
        <v>1570</v>
      </c>
      <c r="T24" s="1203"/>
    </row>
    <row r="25" spans="1:21">
      <c r="A25" s="478">
        <v>58</v>
      </c>
      <c r="B25" s="478">
        <v>0.8</v>
      </c>
      <c r="C25" s="478">
        <v>0.8</v>
      </c>
      <c r="D25" s="478">
        <v>0.7</v>
      </c>
      <c r="E25" s="483">
        <f>B25*C25*D25*A25</f>
        <v>25.984000000000005</v>
      </c>
      <c r="G25" s="478">
        <v>58</v>
      </c>
      <c r="H25" s="478">
        <v>0.6</v>
      </c>
      <c r="I25" s="477">
        <v>0.6</v>
      </c>
      <c r="J25" s="478">
        <v>0.6</v>
      </c>
      <c r="K25" s="483">
        <f>J25*I25*H25*G25</f>
        <v>12.528</v>
      </c>
      <c r="N25" s="477" t="s">
        <v>1571</v>
      </c>
      <c r="O25" s="477" t="s">
        <v>1591</v>
      </c>
      <c r="P25" s="477">
        <v>834.24</v>
      </c>
      <c r="Q25" s="477">
        <v>0.63</v>
      </c>
      <c r="R25" s="477">
        <f>P25*Q25</f>
        <v>525.57119999999998</v>
      </c>
      <c r="S25" s="1200">
        <f>R25*1.1</f>
        <v>578.12832000000003</v>
      </c>
      <c r="T25" s="1200"/>
    </row>
    <row r="26" spans="1:21">
      <c r="A26" s="477"/>
      <c r="B26" s="477"/>
      <c r="C26" s="477"/>
      <c r="D26" s="477"/>
      <c r="E26" s="477"/>
      <c r="G26" s="477"/>
      <c r="H26" s="477"/>
      <c r="I26" s="477"/>
      <c r="J26" s="477"/>
      <c r="K26" s="477"/>
      <c r="N26" s="477" t="s">
        <v>1573</v>
      </c>
      <c r="O26" s="477" t="s">
        <v>1574</v>
      </c>
      <c r="P26" s="477">
        <v>1084.51</v>
      </c>
      <c r="Q26" s="477">
        <v>0.16</v>
      </c>
      <c r="R26" s="477">
        <f>P26*Q26</f>
        <v>173.52160000000001</v>
      </c>
      <c r="S26" s="1200">
        <f>R26*1.1</f>
        <v>190.87376000000003</v>
      </c>
      <c r="T26" s="1200"/>
    </row>
    <row r="27" spans="1:21">
      <c r="A27" s="1201" t="s">
        <v>1597</v>
      </c>
      <c r="B27" s="1201"/>
      <c r="C27" s="1201"/>
      <c r="D27" s="1201"/>
      <c r="E27" s="1201"/>
      <c r="G27" s="1202" t="s">
        <v>1598</v>
      </c>
      <c r="H27" s="1202"/>
      <c r="I27" s="1202"/>
      <c r="J27" s="1202"/>
      <c r="K27" s="1202"/>
      <c r="N27" s="477"/>
      <c r="O27" s="477"/>
      <c r="P27" s="477"/>
      <c r="Q27" s="477"/>
      <c r="R27" s="477"/>
      <c r="S27" s="477"/>
      <c r="T27" s="477"/>
    </row>
    <row r="28" spans="1:21">
      <c r="A28" s="477" t="s">
        <v>1557</v>
      </c>
      <c r="B28" s="477" t="s">
        <v>1595</v>
      </c>
      <c r="C28" s="477" t="s">
        <v>1596</v>
      </c>
      <c r="D28" s="477" t="s">
        <v>1559</v>
      </c>
      <c r="E28" s="477" t="s">
        <v>1560</v>
      </c>
      <c r="G28" s="374" t="s">
        <v>1557</v>
      </c>
      <c r="H28" s="482" t="s">
        <v>1595</v>
      </c>
      <c r="I28" s="482" t="s">
        <v>1583</v>
      </c>
      <c r="J28" s="478" t="s">
        <v>1559</v>
      </c>
      <c r="K28" s="478" t="s">
        <v>1560</v>
      </c>
      <c r="N28" s="374" t="s">
        <v>1599</v>
      </c>
      <c r="O28" s="477"/>
      <c r="P28" s="477"/>
      <c r="Q28" s="477"/>
      <c r="R28" s="477"/>
      <c r="S28" s="477"/>
      <c r="T28" s="477"/>
    </row>
    <row r="29" spans="1:21">
      <c r="A29" s="477">
        <v>75</v>
      </c>
      <c r="B29" s="477">
        <v>0.8</v>
      </c>
      <c r="C29" s="477">
        <v>0.8</v>
      </c>
      <c r="D29" s="477">
        <v>0.7</v>
      </c>
      <c r="E29" s="479">
        <f>B29*C29*D29*A29</f>
        <v>33.6</v>
      </c>
      <c r="G29" s="478">
        <v>75</v>
      </c>
      <c r="H29" s="478">
        <v>0.6</v>
      </c>
      <c r="I29" s="477">
        <v>0.6</v>
      </c>
      <c r="J29" s="478">
        <v>0.6</v>
      </c>
      <c r="K29" s="483">
        <f>J29*I29*H29*G29</f>
        <v>16.2</v>
      </c>
      <c r="N29" s="1204" t="s">
        <v>1600</v>
      </c>
      <c r="O29" s="1204"/>
      <c r="P29" s="497">
        <f>SUM(S6,S11,S16,S20,S25)</f>
        <v>4686.4114</v>
      </c>
      <c r="Q29" s="497"/>
      <c r="R29" s="477"/>
      <c r="S29" s="477"/>
      <c r="T29" s="477"/>
      <c r="U29" s="384"/>
    </row>
    <row r="30" spans="1:21">
      <c r="A30" s="477"/>
      <c r="B30" s="477"/>
      <c r="C30" s="477"/>
      <c r="D30" s="477"/>
      <c r="E30" s="477"/>
      <c r="G30" s="477"/>
      <c r="H30" s="477"/>
      <c r="I30" s="477"/>
      <c r="J30" s="477"/>
      <c r="K30" s="477"/>
      <c r="N30" s="1204" t="s">
        <v>1601</v>
      </c>
      <c r="O30" s="1204"/>
      <c r="P30" s="497">
        <f>S7+S12+S21+S26</f>
        <v>1443.14544</v>
      </c>
      <c r="Q30" s="497"/>
      <c r="R30" s="477"/>
      <c r="S30" s="477"/>
      <c r="T30" s="477"/>
    </row>
    <row r="31" spans="1:21">
      <c r="A31" s="374" t="s">
        <v>1602</v>
      </c>
      <c r="B31" s="477"/>
      <c r="C31" s="477"/>
      <c r="D31" s="477"/>
      <c r="E31" s="477">
        <f>E29+E25</f>
        <v>59.584000000000003</v>
      </c>
      <c r="G31" s="374" t="s">
        <v>1603</v>
      </c>
      <c r="H31" s="477"/>
      <c r="I31" s="477"/>
      <c r="J31" s="477"/>
      <c r="K31" s="477">
        <f>K29+K25</f>
        <v>28.728000000000002</v>
      </c>
    </row>
    <row r="33" spans="1:20">
      <c r="A33" s="1205" t="s">
        <v>1604</v>
      </c>
      <c r="B33" s="1205"/>
      <c r="C33" s="1205"/>
      <c r="D33" s="1205"/>
      <c r="O33" s="1206" t="s">
        <v>1605</v>
      </c>
      <c r="P33" s="1206"/>
      <c r="Q33" s="1206"/>
      <c r="R33" s="1206"/>
      <c r="S33" s="1206"/>
    </row>
    <row r="34" spans="1:20">
      <c r="A34" s="1207" t="s">
        <v>1606</v>
      </c>
      <c r="B34" s="1207"/>
      <c r="C34" s="136">
        <f>SUM(E31,E20)</f>
        <v>173.26840000000001</v>
      </c>
    </row>
    <row r="35" spans="1:20">
      <c r="A35" s="1207" t="s">
        <v>1607</v>
      </c>
      <c r="B35" s="1207"/>
      <c r="C35" s="136">
        <f>D3+D7</f>
        <v>54.699999999999996</v>
      </c>
      <c r="N35" s="1208" t="s">
        <v>1608</v>
      </c>
      <c r="O35" s="1208"/>
      <c r="P35" s="1208"/>
      <c r="Q35" s="1208"/>
      <c r="R35" s="1208"/>
      <c r="S35" s="1208"/>
      <c r="T35" s="1208"/>
    </row>
    <row r="36" spans="1:20">
      <c r="A36" s="1207" t="s">
        <v>1609</v>
      </c>
      <c r="B36" s="1207"/>
      <c r="C36" s="136">
        <f>C35+C34</f>
        <v>227.9684</v>
      </c>
      <c r="N36" t="s">
        <v>1565</v>
      </c>
      <c r="O36" t="s">
        <v>1566</v>
      </c>
      <c r="P36" s="399" t="s">
        <v>1567</v>
      </c>
      <c r="Q36" s="405" t="s">
        <v>1568</v>
      </c>
      <c r="R36" t="s">
        <v>1569</v>
      </c>
      <c r="S36" s="378" t="s">
        <v>1570</v>
      </c>
      <c r="T36" s="378"/>
    </row>
    <row r="37" spans="1:20">
      <c r="N37" t="s">
        <v>1571</v>
      </c>
      <c r="O37" t="s">
        <v>1591</v>
      </c>
      <c r="P37">
        <v>594</v>
      </c>
      <c r="Q37">
        <v>0.63</v>
      </c>
      <c r="R37">
        <f>P37*Q37</f>
        <v>374.22</v>
      </c>
      <c r="S37" s="378">
        <f>R37*1.1</f>
        <v>411.64200000000005</v>
      </c>
      <c r="T37" s="378"/>
    </row>
    <row r="38" spans="1:20">
      <c r="N38" t="s">
        <v>1573</v>
      </c>
      <c r="O38" t="s">
        <v>1574</v>
      </c>
      <c r="P38">
        <v>772.2</v>
      </c>
      <c r="Q38">
        <v>0.16</v>
      </c>
      <c r="R38">
        <f>P38*Q38</f>
        <v>123.55200000000001</v>
      </c>
      <c r="S38" s="378">
        <f>R38*1.1</f>
        <v>135.90720000000002</v>
      </c>
      <c r="T38" s="378"/>
    </row>
    <row r="39" spans="1:20">
      <c r="A39" s="1209" t="s">
        <v>1610</v>
      </c>
      <c r="B39" s="1210"/>
      <c r="C39" s="1210"/>
      <c r="D39" s="1211"/>
      <c r="F39" s="1209" t="s">
        <v>1611</v>
      </c>
      <c r="G39" s="1210"/>
      <c r="H39" s="1210"/>
      <c r="I39" s="1210"/>
      <c r="J39" s="1211"/>
    </row>
    <row r="40" spans="1:20">
      <c r="A40" s="374" t="s">
        <v>1612</v>
      </c>
      <c r="B40" s="477"/>
      <c r="C40" s="477"/>
      <c r="D40" s="477"/>
      <c r="F40" s="374" t="s">
        <v>1612</v>
      </c>
      <c r="G40" s="477"/>
      <c r="H40" s="477"/>
      <c r="I40" s="477"/>
      <c r="J40" s="477"/>
      <c r="N40" s="1208" t="s">
        <v>1613</v>
      </c>
      <c r="O40" s="1208"/>
      <c r="P40" s="1208"/>
      <c r="Q40" s="1208"/>
      <c r="R40" s="1208"/>
      <c r="S40" s="1208"/>
      <c r="T40" s="1208"/>
    </row>
    <row r="41" spans="1:20">
      <c r="A41" s="484">
        <f>E25-K25</f>
        <v>13.456000000000005</v>
      </c>
      <c r="B41" s="477"/>
      <c r="C41" s="477"/>
      <c r="D41" s="477"/>
      <c r="F41" s="484">
        <f>D14-J14</f>
        <v>19.191899999999997</v>
      </c>
      <c r="G41" s="477"/>
      <c r="H41" s="477"/>
      <c r="I41" s="477"/>
      <c r="J41" s="477"/>
      <c r="N41" t="s">
        <v>1565</v>
      </c>
      <c r="O41" t="s">
        <v>1566</v>
      </c>
      <c r="P41" s="399" t="s">
        <v>1567</v>
      </c>
      <c r="Q41" s="405" t="s">
        <v>1568</v>
      </c>
      <c r="R41" t="s">
        <v>1569</v>
      </c>
      <c r="S41" s="378" t="s">
        <v>1570</v>
      </c>
      <c r="T41" s="378"/>
    </row>
    <row r="42" spans="1:20">
      <c r="N42" t="s">
        <v>1571</v>
      </c>
      <c r="O42" t="s">
        <v>1591</v>
      </c>
      <c r="P42">
        <v>1272</v>
      </c>
      <c r="Q42">
        <v>0.63</v>
      </c>
      <c r="R42">
        <f>P42*Q42</f>
        <v>801.36</v>
      </c>
      <c r="S42" s="406">
        <f>R42*1.1</f>
        <v>881.49600000000009</v>
      </c>
      <c r="T42" s="406"/>
    </row>
    <row r="43" spans="1:20">
      <c r="A43" s="485" t="s">
        <v>1614</v>
      </c>
      <c r="B43" s="485"/>
      <c r="C43" s="485"/>
      <c r="D43" s="485"/>
      <c r="F43" s="486" t="s">
        <v>1615</v>
      </c>
      <c r="G43" s="486"/>
      <c r="H43" s="486"/>
      <c r="I43" s="486"/>
      <c r="J43" s="486"/>
      <c r="N43" t="s">
        <v>1573</v>
      </c>
      <c r="O43" t="s">
        <v>1574</v>
      </c>
      <c r="P43">
        <v>1488.24</v>
      </c>
      <c r="Q43">
        <v>0.16</v>
      </c>
      <c r="R43">
        <f>P43*Q43</f>
        <v>238.11840000000001</v>
      </c>
      <c r="S43" s="406">
        <f>R43*1.1</f>
        <v>261.93024000000003</v>
      </c>
      <c r="T43" s="406"/>
    </row>
    <row r="44" spans="1:20">
      <c r="A44" s="374" t="s">
        <v>1612</v>
      </c>
      <c r="B44" s="477"/>
      <c r="C44" s="477"/>
      <c r="D44" s="477"/>
      <c r="F44" s="374" t="s">
        <v>1612</v>
      </c>
      <c r="G44" s="477"/>
      <c r="H44" s="477"/>
      <c r="I44" s="477"/>
      <c r="J44" s="477"/>
      <c r="N44" t="s">
        <v>1573</v>
      </c>
      <c r="O44" t="s">
        <v>1574</v>
      </c>
      <c r="P44">
        <v>275.60000000000002</v>
      </c>
      <c r="Q44">
        <v>0.16</v>
      </c>
      <c r="R44">
        <f>P44*Q44</f>
        <v>44.096000000000004</v>
      </c>
      <c r="S44" s="406">
        <f>R44*1.1</f>
        <v>48.505600000000008</v>
      </c>
      <c r="T44" s="406"/>
    </row>
    <row r="45" spans="1:20">
      <c r="A45" s="479">
        <f>E29-K29</f>
        <v>17.400000000000002</v>
      </c>
      <c r="B45" s="477"/>
      <c r="C45" s="477"/>
      <c r="D45" s="477"/>
      <c r="F45" s="484">
        <f>D18-J18</f>
        <v>53.376000000000019</v>
      </c>
      <c r="G45" s="477"/>
      <c r="H45" s="477"/>
      <c r="I45" s="477"/>
      <c r="J45" s="477"/>
    </row>
    <row r="46" spans="1:20">
      <c r="B46" s="379"/>
      <c r="N46" s="1208" t="s">
        <v>1613</v>
      </c>
      <c r="O46" s="1208"/>
      <c r="P46" s="1208"/>
      <c r="Q46" s="1208"/>
      <c r="R46" s="1208"/>
      <c r="S46" s="1208"/>
      <c r="T46" s="1208"/>
    </row>
    <row r="47" spans="1:20">
      <c r="A47" s="482" t="s">
        <v>1616</v>
      </c>
      <c r="B47" s="477">
        <f>A41+F41+A45+F45</f>
        <v>103.42390000000002</v>
      </c>
      <c r="N47" t="s">
        <v>1565</v>
      </c>
      <c r="O47" t="s">
        <v>1566</v>
      </c>
      <c r="P47" s="399" t="s">
        <v>1567</v>
      </c>
      <c r="Q47" s="405" t="s">
        <v>1568</v>
      </c>
      <c r="R47" t="s">
        <v>1569</v>
      </c>
      <c r="S47" s="378" t="s">
        <v>1570</v>
      </c>
      <c r="T47" s="378"/>
    </row>
    <row r="48" spans="1:20">
      <c r="G48" s="388"/>
      <c r="I48" s="388"/>
      <c r="N48" t="s">
        <v>1571</v>
      </c>
      <c r="O48" t="s">
        <v>1591</v>
      </c>
      <c r="P48">
        <v>660</v>
      </c>
      <c r="Q48">
        <v>0.63</v>
      </c>
      <c r="R48" s="136">
        <f>P48*Q48</f>
        <v>415.8</v>
      </c>
      <c r="S48" s="406">
        <f>R48*1.1</f>
        <v>457.38000000000005</v>
      </c>
      <c r="T48" s="406"/>
    </row>
    <row r="49" spans="1:20">
      <c r="A49" s="1212" t="s">
        <v>1617</v>
      </c>
      <c r="B49" s="1212"/>
      <c r="C49" s="1212"/>
      <c r="D49" s="1212"/>
      <c r="E49" s="1212"/>
      <c r="F49" s="1212"/>
      <c r="N49" t="s">
        <v>1573</v>
      </c>
      <c r="O49" t="s">
        <v>1574</v>
      </c>
      <c r="P49">
        <v>760.32</v>
      </c>
      <c r="Q49">
        <v>0.16</v>
      </c>
      <c r="R49" s="136">
        <f>P49*Q49</f>
        <v>121.65120000000002</v>
      </c>
      <c r="S49" s="406">
        <f>R49*1.1</f>
        <v>133.81632000000002</v>
      </c>
      <c r="T49" s="406"/>
    </row>
    <row r="50" spans="1:20">
      <c r="A50" s="1213">
        <f>C36-B47</f>
        <v>124.54449999999999</v>
      </c>
      <c r="B50" s="1214"/>
      <c r="C50" s="1203">
        <v>1.3</v>
      </c>
      <c r="D50" s="1203"/>
      <c r="E50" s="477"/>
      <c r="F50" s="488">
        <f>ROUND(A50*C50,2)</f>
        <v>161.91</v>
      </c>
      <c r="N50" t="s">
        <v>1573</v>
      </c>
      <c r="O50" t="s">
        <v>1574</v>
      </c>
      <c r="P50">
        <v>140.08000000000001</v>
      </c>
      <c r="Q50">
        <v>0.16</v>
      </c>
      <c r="R50" s="136">
        <f>P50*Q50</f>
        <v>22.412800000000001</v>
      </c>
      <c r="S50" s="406">
        <f>R50*1.1</f>
        <v>24.654080000000004</v>
      </c>
      <c r="T50" s="406"/>
    </row>
    <row r="51" spans="1:20" ht="15" customHeight="1">
      <c r="A51" s="1231" t="s">
        <v>1618</v>
      </c>
      <c r="B51" s="1231"/>
      <c r="C51" s="1232"/>
      <c r="D51" s="1233"/>
      <c r="E51" s="1236" t="s">
        <v>1619</v>
      </c>
      <c r="F51" s="1231"/>
    </row>
    <row r="52" spans="1:20">
      <c r="A52" s="1231"/>
      <c r="B52" s="1231"/>
      <c r="C52" s="1234"/>
      <c r="D52" s="1235"/>
      <c r="E52" s="1231"/>
      <c r="F52" s="1231"/>
      <c r="N52" s="1208" t="s">
        <v>1620</v>
      </c>
      <c r="O52" s="1208"/>
      <c r="P52" s="1208"/>
      <c r="Q52" s="1208"/>
      <c r="R52" s="1208"/>
      <c r="S52" s="1208"/>
      <c r="T52" s="1208"/>
    </row>
    <row r="53" spans="1:20">
      <c r="N53" t="s">
        <v>1565</v>
      </c>
      <c r="O53" t="s">
        <v>1566</v>
      </c>
      <c r="P53" s="399" t="s">
        <v>1567</v>
      </c>
      <c r="Q53" s="405" t="s">
        <v>1568</v>
      </c>
      <c r="R53" t="s">
        <v>1569</v>
      </c>
      <c r="S53" s="378" t="s">
        <v>1570</v>
      </c>
      <c r="T53" s="378"/>
    </row>
    <row r="54" spans="1:20">
      <c r="A54" s="1198" t="s">
        <v>1621</v>
      </c>
      <c r="B54" s="1196"/>
      <c r="C54" s="1196"/>
      <c r="D54" s="1196"/>
      <c r="E54" s="1196"/>
      <c r="F54" s="1196"/>
      <c r="N54" t="s">
        <v>1571</v>
      </c>
      <c r="O54" t="s">
        <v>1622</v>
      </c>
      <c r="P54">
        <v>980.58</v>
      </c>
      <c r="Q54">
        <v>1</v>
      </c>
      <c r="R54" s="136">
        <f>P54*Q54</f>
        <v>980.58</v>
      </c>
      <c r="S54" s="406">
        <f>R54*1.1</f>
        <v>1078.6380000000001</v>
      </c>
      <c r="T54" s="406"/>
    </row>
    <row r="55" spans="1:20">
      <c r="A55" s="1215" t="s">
        <v>1623</v>
      </c>
      <c r="B55" s="1216"/>
      <c r="C55" s="1216"/>
      <c r="D55" s="1216"/>
      <c r="E55" s="1217"/>
      <c r="F55" s="489">
        <f>ROUND(I9+K20+K31,2)</f>
        <v>124.54</v>
      </c>
      <c r="N55" t="s">
        <v>1571</v>
      </c>
      <c r="O55" t="s">
        <v>1591</v>
      </c>
      <c r="P55">
        <v>1961.16</v>
      </c>
      <c r="Q55">
        <v>0.63</v>
      </c>
      <c r="R55" s="136">
        <f>P55*Q55</f>
        <v>1235.5308</v>
      </c>
      <c r="S55" s="406">
        <f>R55*1.1</f>
        <v>1359.0838800000001</v>
      </c>
      <c r="T55" s="406"/>
    </row>
    <row r="56" spans="1:20">
      <c r="N56" t="s">
        <v>1573</v>
      </c>
      <c r="O56" t="s">
        <v>1574</v>
      </c>
      <c r="P56">
        <v>4118.18</v>
      </c>
      <c r="Q56">
        <v>0.16</v>
      </c>
      <c r="R56" s="136">
        <f>P56*Q56</f>
        <v>658.90880000000004</v>
      </c>
      <c r="S56" s="406">
        <f>R56*1.1</f>
        <v>724.79968000000008</v>
      </c>
      <c r="T56" s="406"/>
    </row>
    <row r="57" spans="1:20">
      <c r="N57" t="s">
        <v>1573</v>
      </c>
      <c r="O57" t="s">
        <v>1574</v>
      </c>
      <c r="P57">
        <v>653.67999999999995</v>
      </c>
      <c r="Q57">
        <v>0.16</v>
      </c>
      <c r="R57" s="136">
        <f>P57*Q57</f>
        <v>104.58879999999999</v>
      </c>
      <c r="S57" s="406">
        <f>R57*1.1</f>
        <v>115.04768</v>
      </c>
      <c r="T57" s="406"/>
    </row>
    <row r="58" spans="1:20">
      <c r="A58" s="1218" t="s">
        <v>1624</v>
      </c>
      <c r="B58" s="1218"/>
      <c r="C58" s="1218"/>
      <c r="D58" s="1218"/>
      <c r="F58" s="490" t="s">
        <v>1625</v>
      </c>
      <c r="G58" s="491"/>
      <c r="H58" s="491"/>
      <c r="I58" s="491"/>
      <c r="J58" s="491"/>
      <c r="K58" s="491"/>
    </row>
    <row r="59" spans="1:20">
      <c r="A59" s="492" t="s">
        <v>1626</v>
      </c>
      <c r="B59" s="374" t="s">
        <v>1627</v>
      </c>
      <c r="C59" s="374" t="s">
        <v>1628</v>
      </c>
      <c r="D59" s="374" t="s">
        <v>1376</v>
      </c>
      <c r="F59" s="32" t="s">
        <v>1629</v>
      </c>
      <c r="G59" s="492" t="s">
        <v>1630</v>
      </c>
      <c r="H59" s="374" t="s">
        <v>1631</v>
      </c>
      <c r="I59" s="482" t="s">
        <v>1632</v>
      </c>
      <c r="J59" s="374" t="s">
        <v>1633</v>
      </c>
      <c r="K59" s="496"/>
      <c r="N59" s="1208" t="s">
        <v>1634</v>
      </c>
      <c r="O59" s="1208"/>
      <c r="P59" s="1208"/>
      <c r="Q59" s="1208"/>
      <c r="R59" s="1208"/>
      <c r="S59" s="1208"/>
      <c r="T59" s="1208"/>
    </row>
    <row r="60" spans="1:20">
      <c r="A60" s="492" t="s">
        <v>1635</v>
      </c>
      <c r="B60" s="477">
        <v>3</v>
      </c>
      <c r="C60" s="477">
        <v>58</v>
      </c>
      <c r="D60" s="477">
        <f>C60*B60</f>
        <v>174</v>
      </c>
      <c r="F60" s="32" t="s">
        <v>1636</v>
      </c>
      <c r="G60" s="477">
        <v>202.02</v>
      </c>
      <c r="H60" s="477">
        <v>0.15</v>
      </c>
      <c r="I60" s="477">
        <v>0.1</v>
      </c>
      <c r="J60" s="487">
        <f>G60*I60*H60</f>
        <v>3.0303</v>
      </c>
      <c r="K60" s="477"/>
      <c r="N60" t="s">
        <v>1565</v>
      </c>
      <c r="O60" t="s">
        <v>1566</v>
      </c>
      <c r="P60" s="399" t="s">
        <v>1567</v>
      </c>
      <c r="Q60" s="405" t="s">
        <v>1568</v>
      </c>
      <c r="R60" t="s">
        <v>1569</v>
      </c>
      <c r="S60" s="378" t="s">
        <v>1570</v>
      </c>
      <c r="T60" s="378"/>
    </row>
    <row r="61" spans="1:20">
      <c r="A61" s="492" t="s">
        <v>1637</v>
      </c>
      <c r="B61" s="477">
        <v>8</v>
      </c>
      <c r="C61" s="477">
        <v>75</v>
      </c>
      <c r="D61" s="477">
        <f>C61*B61</f>
        <v>600</v>
      </c>
      <c r="F61" s="32" t="s">
        <v>1638</v>
      </c>
      <c r="G61" s="477">
        <v>533.76</v>
      </c>
      <c r="H61" s="477">
        <v>0.2</v>
      </c>
      <c r="I61" s="477">
        <v>0.1</v>
      </c>
      <c r="J61" s="487">
        <f>G61*I61*H61</f>
        <v>10.675200000000002</v>
      </c>
      <c r="K61" s="477"/>
      <c r="N61" t="s">
        <v>1571</v>
      </c>
      <c r="O61" t="s">
        <v>1622</v>
      </c>
      <c r="P61">
        <v>115.2</v>
      </c>
      <c r="Q61">
        <v>1</v>
      </c>
      <c r="R61" s="136">
        <f>P61*Q61</f>
        <v>115.2</v>
      </c>
      <c r="S61" s="406">
        <f>R61*1.1</f>
        <v>126.72000000000001</v>
      </c>
      <c r="T61" s="406"/>
    </row>
    <row r="62" spans="1:20">
      <c r="A62" s="1219" t="s">
        <v>1609</v>
      </c>
      <c r="B62" s="1219"/>
      <c r="C62" s="477"/>
      <c r="D62" s="479">
        <f>(B60*C60)+(B61*C61)</f>
        <v>774</v>
      </c>
      <c r="F62" s="1207"/>
      <c r="G62" s="1207"/>
      <c r="H62" s="1207"/>
      <c r="I62" s="1207"/>
      <c r="N62" t="s">
        <v>1571</v>
      </c>
      <c r="O62" t="s">
        <v>1591</v>
      </c>
      <c r="P62">
        <v>345.6</v>
      </c>
      <c r="Q62">
        <v>0.63</v>
      </c>
      <c r="R62" s="136">
        <f>P62*Q62</f>
        <v>217.72800000000001</v>
      </c>
      <c r="S62" s="406">
        <f>R62*1.1</f>
        <v>239.50080000000003</v>
      </c>
      <c r="T62" s="406"/>
    </row>
    <row r="63" spans="1:20">
      <c r="F63" s="32" t="s">
        <v>1639</v>
      </c>
      <c r="G63" s="482" t="s">
        <v>1630</v>
      </c>
      <c r="H63" s="482" t="s">
        <v>1631</v>
      </c>
      <c r="I63" s="492" t="s">
        <v>1632</v>
      </c>
      <c r="J63" s="482" t="s">
        <v>17</v>
      </c>
      <c r="K63" s="482" t="s">
        <v>1623</v>
      </c>
      <c r="N63" t="s">
        <v>1573</v>
      </c>
      <c r="O63" t="s">
        <v>1574</v>
      </c>
      <c r="P63">
        <v>483.84</v>
      </c>
      <c r="Q63">
        <v>0.16</v>
      </c>
      <c r="R63" s="136">
        <f>P63*Q63</f>
        <v>77.414400000000001</v>
      </c>
      <c r="S63" s="406">
        <f>R63*1.1</f>
        <v>85.155840000000012</v>
      </c>
      <c r="T63" s="406"/>
    </row>
    <row r="64" spans="1:20">
      <c r="F64" s="32" t="s">
        <v>1636</v>
      </c>
      <c r="G64" s="477">
        <v>0.6</v>
      </c>
      <c r="H64" s="477">
        <v>0.6</v>
      </c>
      <c r="I64" s="477">
        <v>0.1</v>
      </c>
      <c r="J64" s="477">
        <v>58</v>
      </c>
      <c r="K64" s="484">
        <f>PRODUCT(G64,H64,I64,J64)</f>
        <v>2.0879999999999996</v>
      </c>
      <c r="N64" t="s">
        <v>1573</v>
      </c>
      <c r="O64" t="s">
        <v>1574</v>
      </c>
      <c r="P64">
        <v>76.8</v>
      </c>
      <c r="Q64">
        <v>0.16</v>
      </c>
      <c r="R64" s="136">
        <f>P64*Q64</f>
        <v>12.288</v>
      </c>
      <c r="S64" s="406">
        <f>R64*1.1</f>
        <v>13.516800000000002</v>
      </c>
      <c r="T64" s="406"/>
    </row>
    <row r="65" spans="1:21">
      <c r="A65" s="500" t="s">
        <v>1640</v>
      </c>
      <c r="B65" s="500"/>
      <c r="C65" s="500"/>
      <c r="D65" s="500"/>
      <c r="E65" s="400"/>
      <c r="F65" s="32" t="s">
        <v>1638</v>
      </c>
      <c r="G65" s="477">
        <v>0.6</v>
      </c>
      <c r="H65" s="477">
        <v>0.6</v>
      </c>
      <c r="I65" s="477">
        <v>0.1</v>
      </c>
      <c r="J65" s="477">
        <v>75</v>
      </c>
      <c r="K65" s="479">
        <f>PRODUCT(G65,H65,I65,J65)</f>
        <v>2.6999999999999997</v>
      </c>
    </row>
    <row r="66" spans="1:21">
      <c r="A66" s="32" t="s">
        <v>1641</v>
      </c>
      <c r="B66" s="482" t="s">
        <v>1642</v>
      </c>
      <c r="C66" s="482" t="s">
        <v>1643</v>
      </c>
      <c r="D66" s="482" t="s">
        <v>1644</v>
      </c>
      <c r="F66" s="374"/>
      <c r="G66" s="477"/>
      <c r="H66" s="477"/>
      <c r="I66" s="477"/>
      <c r="J66" s="477"/>
      <c r="K66" s="477"/>
      <c r="N66" s="1220" t="s">
        <v>1645</v>
      </c>
      <c r="O66" s="1220"/>
      <c r="P66" s="1220"/>
      <c r="Q66" s="1220"/>
      <c r="R66" s="1220"/>
      <c r="S66" s="1220"/>
      <c r="T66" s="1220"/>
    </row>
    <row r="67" spans="1:21">
      <c r="A67" s="374" t="s">
        <v>1636</v>
      </c>
      <c r="B67" s="478">
        <v>202.02</v>
      </c>
      <c r="C67" s="478">
        <v>0.35</v>
      </c>
      <c r="D67" s="479">
        <f>B67*C67</f>
        <v>70.706999999999994</v>
      </c>
      <c r="F67" s="374" t="s">
        <v>1646</v>
      </c>
      <c r="G67" s="477"/>
      <c r="H67" s="477"/>
      <c r="I67" s="477"/>
      <c r="J67" s="477"/>
      <c r="K67" s="484">
        <f>J60+J61+K64+K65</f>
        <v>18.493500000000001</v>
      </c>
      <c r="N67" t="s">
        <v>1565</v>
      </c>
      <c r="O67" t="s">
        <v>1566</v>
      </c>
      <c r="P67" s="399" t="s">
        <v>1567</v>
      </c>
      <c r="Q67" s="405" t="s">
        <v>1568</v>
      </c>
      <c r="R67" t="s">
        <v>1569</v>
      </c>
      <c r="S67" s="378" t="s">
        <v>1570</v>
      </c>
      <c r="T67" s="378"/>
    </row>
    <row r="68" spans="1:21">
      <c r="A68" s="374" t="s">
        <v>1638</v>
      </c>
      <c r="B68" s="478">
        <v>533.76</v>
      </c>
      <c r="C68" s="478">
        <v>0.4</v>
      </c>
      <c r="D68" s="479">
        <f>B68*C68</f>
        <v>213.50400000000002</v>
      </c>
      <c r="N68" t="s">
        <v>1571</v>
      </c>
      <c r="O68" s="384" t="s">
        <v>1572</v>
      </c>
      <c r="P68">
        <v>696.84</v>
      </c>
      <c r="Q68">
        <v>0.4</v>
      </c>
      <c r="R68" s="136">
        <f>P68*Q68</f>
        <v>278.73600000000005</v>
      </c>
      <c r="S68" s="406">
        <f>R68*1.1</f>
        <v>306.60960000000006</v>
      </c>
      <c r="T68" s="406"/>
    </row>
    <row r="69" spans="1:21">
      <c r="A69" s="1221"/>
      <c r="B69" s="1221"/>
      <c r="C69" s="1221"/>
      <c r="D69" s="1221"/>
      <c r="N69" s="384" t="s">
        <v>1573</v>
      </c>
      <c r="O69" s="384" t="s">
        <v>1574</v>
      </c>
      <c r="P69">
        <v>905.95</v>
      </c>
      <c r="Q69">
        <v>0.16</v>
      </c>
      <c r="R69" s="136">
        <f>P69*Q69</f>
        <v>144.952</v>
      </c>
      <c r="S69" s="1222">
        <f>R69*1.1</f>
        <v>159.44720000000001</v>
      </c>
      <c r="T69" s="1222"/>
    </row>
    <row r="70" spans="1:21">
      <c r="A70" s="32" t="s">
        <v>1639</v>
      </c>
      <c r="B70" s="482" t="s">
        <v>1642</v>
      </c>
      <c r="C70" s="482" t="s">
        <v>1643</v>
      </c>
      <c r="D70" s="482" t="s">
        <v>17</v>
      </c>
      <c r="E70" s="482" t="s">
        <v>1644</v>
      </c>
      <c r="G70" s="1204" t="s">
        <v>1647</v>
      </c>
      <c r="H70" s="1204"/>
      <c r="I70" s="1204"/>
      <c r="J70" s="1204"/>
      <c r="K70" s="1204"/>
    </row>
    <row r="71" spans="1:21">
      <c r="A71" s="374" t="s">
        <v>1636</v>
      </c>
      <c r="B71" s="478">
        <v>0.8</v>
      </c>
      <c r="C71" s="478">
        <v>0.8</v>
      </c>
      <c r="D71" s="478">
        <v>58</v>
      </c>
      <c r="E71" s="479">
        <f>D71*C71*B71</f>
        <v>37.120000000000005</v>
      </c>
      <c r="G71" s="374" t="s">
        <v>1648</v>
      </c>
      <c r="H71" s="374" t="s">
        <v>1649</v>
      </c>
      <c r="I71" s="374" t="s">
        <v>1650</v>
      </c>
      <c r="J71" s="374" t="s">
        <v>1651</v>
      </c>
      <c r="K71" s="374" t="s">
        <v>1652</v>
      </c>
      <c r="N71" s="1223" t="s">
        <v>1653</v>
      </c>
      <c r="O71" s="1208"/>
      <c r="P71" s="1208"/>
      <c r="Q71" s="1208"/>
      <c r="R71" s="1208"/>
      <c r="S71" s="1208"/>
      <c r="T71" s="1208"/>
    </row>
    <row r="72" spans="1:21">
      <c r="A72" s="374" t="s">
        <v>1638</v>
      </c>
      <c r="B72" s="478">
        <v>0.8</v>
      </c>
      <c r="C72" s="478">
        <v>0.8</v>
      </c>
      <c r="D72" s="478">
        <v>75</v>
      </c>
      <c r="E72" s="479">
        <f>D72*C72*B72</f>
        <v>48</v>
      </c>
      <c r="G72" s="374" t="s">
        <v>1654</v>
      </c>
      <c r="H72" s="477">
        <v>202.02</v>
      </c>
      <c r="I72" s="477">
        <v>0.3</v>
      </c>
      <c r="J72" s="477">
        <v>0.15</v>
      </c>
      <c r="K72" s="477">
        <f>ROUND((H72*I72*2)+(H72*J72),2)</f>
        <v>151.52000000000001</v>
      </c>
      <c r="N72" t="s">
        <v>1565</v>
      </c>
      <c r="O72" t="s">
        <v>1566</v>
      </c>
      <c r="P72" s="399" t="s">
        <v>1567</v>
      </c>
      <c r="Q72" s="405" t="s">
        <v>1568</v>
      </c>
      <c r="R72" t="s">
        <v>1569</v>
      </c>
      <c r="S72" s="1221" t="s">
        <v>1570</v>
      </c>
      <c r="T72" s="1221"/>
    </row>
    <row r="73" spans="1:21">
      <c r="A73" s="477"/>
      <c r="B73" s="477"/>
      <c r="C73" s="477"/>
      <c r="D73" s="477"/>
      <c r="E73" s="477"/>
      <c r="G73" s="374" t="s">
        <v>1655</v>
      </c>
      <c r="H73" s="477">
        <v>533.76</v>
      </c>
      <c r="I73" s="477">
        <v>0.3</v>
      </c>
      <c r="J73" s="477">
        <v>0.2</v>
      </c>
      <c r="K73" s="477">
        <f>ROUND((H73*I73*2)+(H73*J73),2)</f>
        <v>427.01</v>
      </c>
      <c r="N73" t="s">
        <v>1571</v>
      </c>
      <c r="O73" s="384" t="s">
        <v>1591</v>
      </c>
      <c r="P73">
        <v>1548</v>
      </c>
      <c r="Q73">
        <v>0.63</v>
      </c>
      <c r="R73" s="136">
        <f>P73*Q73</f>
        <v>975.24</v>
      </c>
      <c r="S73" s="1222">
        <f>R73*1.1</f>
        <v>1072.7640000000001</v>
      </c>
      <c r="T73" s="1222"/>
    </row>
    <row r="74" spans="1:21">
      <c r="A74" s="477" t="s">
        <v>1646</v>
      </c>
      <c r="B74" s="477"/>
      <c r="C74" s="477"/>
      <c r="D74" s="477"/>
      <c r="E74" s="484">
        <f>D67+D68+E71+E72</f>
        <v>369.33100000000002</v>
      </c>
      <c r="G74" s="1224" t="s">
        <v>1656</v>
      </c>
      <c r="H74" s="1225"/>
      <c r="I74" s="477"/>
      <c r="J74" s="477"/>
      <c r="K74" s="479">
        <f>K73+K72</f>
        <v>578.53</v>
      </c>
      <c r="N74" t="s">
        <v>1571</v>
      </c>
      <c r="O74" s="384" t="s">
        <v>1591</v>
      </c>
      <c r="P74">
        <v>3096</v>
      </c>
      <c r="Q74">
        <v>0.63</v>
      </c>
      <c r="R74" s="136">
        <f>P74*Q74</f>
        <v>1950.48</v>
      </c>
      <c r="S74" s="1222">
        <f>R74*1.1</f>
        <v>2145.5280000000002</v>
      </c>
      <c r="T74" s="1222"/>
    </row>
    <row r="75" spans="1:21">
      <c r="N75" s="384" t="s">
        <v>1573</v>
      </c>
      <c r="O75" s="384" t="s">
        <v>1657</v>
      </c>
      <c r="R75" s="136"/>
      <c r="S75" s="1222">
        <v>2893.09</v>
      </c>
      <c r="T75" s="1222"/>
    </row>
    <row r="76" spans="1:21">
      <c r="A76" s="1199" t="s">
        <v>1658</v>
      </c>
      <c r="B76" s="1199"/>
      <c r="C76" s="1199"/>
      <c r="D76" s="1199"/>
      <c r="E76" s="1199"/>
      <c r="F76" s="1199"/>
      <c r="G76" s="1199"/>
      <c r="H76" s="1199"/>
      <c r="I76" s="1199"/>
      <c r="J76" s="1199"/>
    </row>
    <row r="77" spans="1:21">
      <c r="A77" s="477"/>
      <c r="B77" s="477"/>
      <c r="C77" s="477"/>
      <c r="D77" s="477"/>
      <c r="E77" s="477"/>
      <c r="F77" s="477"/>
      <c r="G77" s="477"/>
      <c r="H77" s="477"/>
      <c r="I77" s="477"/>
      <c r="J77" s="477"/>
    </row>
    <row r="78" spans="1:21">
      <c r="A78" s="492" t="s">
        <v>1659</v>
      </c>
      <c r="B78" s="492"/>
      <c r="C78" s="492"/>
      <c r="D78" s="492"/>
      <c r="E78" s="492"/>
      <c r="F78" s="477"/>
      <c r="G78" s="477"/>
      <c r="H78" s="477"/>
      <c r="I78" s="374" t="s">
        <v>1646</v>
      </c>
      <c r="J78" s="479">
        <f>E79+E80+C83+G83</f>
        <v>632.98</v>
      </c>
      <c r="N78" s="374" t="s">
        <v>1660</v>
      </c>
      <c r="O78" s="477"/>
      <c r="P78" s="477"/>
      <c r="Q78" s="477"/>
      <c r="R78" s="477"/>
      <c r="S78" s="477"/>
    </row>
    <row r="79" spans="1:21">
      <c r="A79" s="374" t="s">
        <v>1661</v>
      </c>
      <c r="B79" s="477"/>
      <c r="C79" s="478"/>
      <c r="D79" s="478"/>
      <c r="E79" s="501">
        <f>0.6*0.6*(4)*58</f>
        <v>83.52</v>
      </c>
      <c r="F79" s="477"/>
      <c r="G79" s="477"/>
      <c r="H79" s="477"/>
      <c r="I79" s="477"/>
      <c r="J79" s="477"/>
      <c r="N79" s="477" t="s">
        <v>1571</v>
      </c>
      <c r="O79" s="507">
        <f>S73+S74+S68+S61+S62+S54+S55+S48+S42+S37</f>
        <v>8079.3622800000003</v>
      </c>
      <c r="P79" s="496"/>
      <c r="Q79" s="477"/>
      <c r="R79" s="477"/>
      <c r="S79" s="477"/>
      <c r="T79" s="427"/>
      <c r="U79" s="384"/>
    </row>
    <row r="80" spans="1:21">
      <c r="A80" s="374" t="s">
        <v>1662</v>
      </c>
      <c r="B80" s="477"/>
      <c r="C80" s="477"/>
      <c r="D80" s="477"/>
      <c r="E80" s="501">
        <f>0.6*0.6*(4)*75</f>
        <v>108</v>
      </c>
      <c r="F80" s="477"/>
      <c r="G80" s="477"/>
      <c r="H80" s="477"/>
      <c r="I80" s="477"/>
      <c r="J80" s="477"/>
      <c r="N80" s="477" t="s">
        <v>1573</v>
      </c>
      <c r="O80" s="507">
        <f>SUM(S75,S69,S64,S63,S57,S56,S50,S49,S44,S43,S38)</f>
        <v>4595.8706400000001</v>
      </c>
      <c r="P80" s="496"/>
      <c r="Q80" s="477"/>
      <c r="R80" s="477"/>
      <c r="S80" s="477"/>
    </row>
    <row r="81" spans="1:19">
      <c r="A81" s="477"/>
      <c r="B81" s="477"/>
      <c r="C81" s="477"/>
      <c r="D81" s="477"/>
      <c r="E81" s="477"/>
      <c r="F81" s="477"/>
      <c r="G81" s="477"/>
      <c r="H81" s="477"/>
      <c r="I81" s="477"/>
      <c r="J81" s="477"/>
    </row>
    <row r="82" spans="1:19">
      <c r="A82" s="492" t="s">
        <v>1663</v>
      </c>
      <c r="B82" s="492"/>
      <c r="C82" s="492"/>
      <c r="D82" s="477"/>
      <c r="E82" s="1204" t="s">
        <v>1664</v>
      </c>
      <c r="F82" s="1204"/>
      <c r="G82" s="1204"/>
      <c r="H82" s="1204"/>
      <c r="I82" s="477"/>
      <c r="J82" s="477"/>
      <c r="N82" s="374" t="s">
        <v>1660</v>
      </c>
      <c r="O82" s="477"/>
      <c r="P82" s="477"/>
      <c r="Q82" s="477"/>
      <c r="R82" s="477"/>
      <c r="S82" s="477"/>
    </row>
    <row r="83" spans="1:19">
      <c r="A83" s="1204" t="s">
        <v>1665</v>
      </c>
      <c r="B83" s="1204"/>
      <c r="C83" s="502">
        <v>121.21</v>
      </c>
      <c r="D83" s="477"/>
      <c r="E83" s="1204" t="s">
        <v>1666</v>
      </c>
      <c r="F83" s="1204"/>
      <c r="G83" s="502">
        <v>320.25</v>
      </c>
      <c r="H83" s="477"/>
      <c r="I83" s="477"/>
      <c r="J83" s="477"/>
      <c r="N83" s="1219" t="s">
        <v>1600</v>
      </c>
      <c r="O83" s="1219"/>
      <c r="P83" s="508">
        <f>S73+S74+S68+S62+S55+S48+S42+S37</f>
        <v>6874.004280000001</v>
      </c>
      <c r="Q83" s="477"/>
      <c r="R83" s="477"/>
      <c r="S83" s="477"/>
    </row>
    <row r="84" spans="1:19">
      <c r="N84" s="1219" t="s">
        <v>1667</v>
      </c>
      <c r="O84" s="1219"/>
      <c r="P84" s="508">
        <f>S61+S54</f>
        <v>1205.3580000000002</v>
      </c>
      <c r="Q84" s="477"/>
      <c r="R84" s="477"/>
      <c r="S84" s="477"/>
    </row>
    <row r="85" spans="1:19">
      <c r="A85" s="1226" t="s">
        <v>1668</v>
      </c>
      <c r="B85" s="1226"/>
      <c r="C85" s="1226"/>
      <c r="D85" s="1226"/>
      <c r="E85" s="1226"/>
      <c r="F85" s="1226"/>
      <c r="G85" s="1226"/>
      <c r="H85" s="1226"/>
      <c r="I85" s="1226"/>
      <c r="J85" s="1226"/>
      <c r="N85" s="1219" t="s">
        <v>1669</v>
      </c>
      <c r="O85" s="1219"/>
      <c r="P85" s="484">
        <f>S75</f>
        <v>2893.09</v>
      </c>
      <c r="Q85" s="477"/>
      <c r="R85" s="477"/>
      <c r="S85" s="477"/>
    </row>
    <row r="87" spans="1:19">
      <c r="A87" s="1207" t="s">
        <v>1670</v>
      </c>
      <c r="B87" s="1207"/>
      <c r="C87" s="1207"/>
      <c r="E87" s="1207" t="s">
        <v>1671</v>
      </c>
      <c r="F87" s="1207"/>
      <c r="G87" s="1207"/>
      <c r="H87" s="1207"/>
      <c r="I87" s="1207"/>
      <c r="J87" s="1207"/>
      <c r="K87" s="396"/>
    </row>
    <row r="88" spans="1:19">
      <c r="A88" s="384" t="s">
        <v>1557</v>
      </c>
      <c r="B88">
        <v>55</v>
      </c>
      <c r="E88" s="384" t="s">
        <v>1557</v>
      </c>
      <c r="F88">
        <v>53</v>
      </c>
      <c r="H88" s="384" t="s">
        <v>1557</v>
      </c>
      <c r="I88">
        <v>22</v>
      </c>
      <c r="J88" s="408">
        <f>I88*((I89*I91*2)+(I90*I91*2))</f>
        <v>121.55000000000001</v>
      </c>
    </row>
    <row r="89" spans="1:19">
      <c r="A89" s="384" t="s">
        <v>1583</v>
      </c>
      <c r="B89">
        <v>0.2</v>
      </c>
      <c r="E89" s="384" t="s">
        <v>1672</v>
      </c>
      <c r="F89">
        <v>0.2</v>
      </c>
      <c r="H89" s="384" t="s">
        <v>1672</v>
      </c>
      <c r="I89">
        <v>0.2</v>
      </c>
    </row>
    <row r="90" spans="1:19">
      <c r="A90" s="384" t="s">
        <v>1673</v>
      </c>
      <c r="B90">
        <v>0.3</v>
      </c>
      <c r="E90" s="384" t="s">
        <v>1673</v>
      </c>
      <c r="F90">
        <v>0.45</v>
      </c>
      <c r="H90" s="384" t="s">
        <v>1673</v>
      </c>
      <c r="I90">
        <v>0.45</v>
      </c>
    </row>
    <row r="91" spans="1:19">
      <c r="A91" s="384" t="s">
        <v>1674</v>
      </c>
      <c r="B91">
        <v>2.5</v>
      </c>
      <c r="E91" s="384" t="s">
        <v>1674</v>
      </c>
      <c r="F91">
        <v>3.25</v>
      </c>
      <c r="H91" s="384" t="s">
        <v>1674</v>
      </c>
      <c r="I91">
        <v>4.25</v>
      </c>
    </row>
    <row r="92" spans="1:19">
      <c r="A92" s="384" t="s">
        <v>1376</v>
      </c>
      <c r="C92" s="408">
        <f>B88*((B89*B91*2)+(B90*B91*2))</f>
        <v>137.5</v>
      </c>
      <c r="E92" s="384" t="s">
        <v>1376</v>
      </c>
      <c r="G92" s="408">
        <f>F88*((F89*F91*2)+(F90*F91*2))</f>
        <v>223.92500000000004</v>
      </c>
      <c r="J92" s="408">
        <f>J88+G92</f>
        <v>345.47500000000002</v>
      </c>
    </row>
    <row r="94" spans="1:19">
      <c r="A94" s="396" t="s">
        <v>1675</v>
      </c>
      <c r="B94" s="396"/>
      <c r="C94" s="396"/>
      <c r="J94" s="388"/>
      <c r="K94" s="388"/>
    </row>
    <row r="95" spans="1:19">
      <c r="A95" s="409" t="s">
        <v>1676</v>
      </c>
      <c r="B95">
        <v>533.76</v>
      </c>
      <c r="F95" s="384" t="s">
        <v>1677</v>
      </c>
      <c r="I95" s="379">
        <f>J92+G92+C92+C98</f>
        <v>1400.7880000000002</v>
      </c>
    </row>
    <row r="96" spans="1:19">
      <c r="A96" s="409" t="s">
        <v>1672</v>
      </c>
      <c r="B96">
        <v>0.2</v>
      </c>
    </row>
    <row r="97" spans="1:16">
      <c r="A97" s="409" t="s">
        <v>1674</v>
      </c>
      <c r="B97">
        <v>0.55000000000000004</v>
      </c>
    </row>
    <row r="98" spans="1:16">
      <c r="A98" s="409" t="s">
        <v>1376</v>
      </c>
      <c r="C98" s="395">
        <f>((B96*B95)+(B97*B95*2))</f>
        <v>693.88800000000015</v>
      </c>
    </row>
    <row r="100" spans="1:16">
      <c r="B100" s="393" t="s">
        <v>1678</v>
      </c>
      <c r="C100" s="393"/>
      <c r="D100" t="s">
        <v>1679</v>
      </c>
      <c r="G100" s="64">
        <v>0.15</v>
      </c>
    </row>
    <row r="101" spans="1:16">
      <c r="A101" s="1207" t="s">
        <v>1680</v>
      </c>
      <c r="B101" s="1207"/>
      <c r="C101" s="1207" t="s">
        <v>1681</v>
      </c>
      <c r="D101" s="1207"/>
    </row>
    <row r="102" spans="1:16">
      <c r="A102" s="383">
        <v>1310.1199999999999</v>
      </c>
      <c r="C102" s="1227">
        <v>1310.1199999999999</v>
      </c>
      <c r="D102" s="1227"/>
      <c r="F102" s="384" t="s">
        <v>1682</v>
      </c>
      <c r="G102" s="379">
        <f>G100*A102</f>
        <v>196.51799999999997</v>
      </c>
    </row>
    <row r="104" spans="1:16">
      <c r="A104" s="381"/>
      <c r="B104" s="381"/>
      <c r="C104" s="381"/>
      <c r="D104" s="503" t="s">
        <v>1683</v>
      </c>
      <c r="E104" s="503"/>
      <c r="F104" s="503"/>
      <c r="G104" s="503"/>
      <c r="H104" s="381"/>
      <c r="I104" s="381"/>
      <c r="J104" s="381"/>
      <c r="K104" s="381"/>
    </row>
    <row r="105" spans="1:16">
      <c r="A105" s="1228" t="s">
        <v>1684</v>
      </c>
      <c r="B105" s="1228"/>
      <c r="C105" s="1228"/>
      <c r="D105" s="1228"/>
      <c r="E105" s="1228"/>
      <c r="G105" s="1228" t="s">
        <v>1685</v>
      </c>
      <c r="H105" s="1228"/>
      <c r="I105" s="1228"/>
      <c r="J105" s="1228"/>
      <c r="K105" s="1228"/>
    </row>
    <row r="106" spans="1:16">
      <c r="A106" s="477" t="s">
        <v>1557</v>
      </c>
      <c r="B106" s="374" t="s">
        <v>1630</v>
      </c>
      <c r="C106" s="374" t="s">
        <v>1643</v>
      </c>
      <c r="D106" s="477" t="s">
        <v>1559</v>
      </c>
      <c r="E106" s="477" t="s">
        <v>1560</v>
      </c>
      <c r="G106" s="477" t="s">
        <v>1557</v>
      </c>
      <c r="H106" s="374" t="s">
        <v>1630</v>
      </c>
      <c r="I106" s="374" t="s">
        <v>1643</v>
      </c>
      <c r="J106" s="477" t="s">
        <v>1559</v>
      </c>
      <c r="K106" s="477" t="s">
        <v>1560</v>
      </c>
    </row>
    <row r="107" spans="1:16">
      <c r="A107" s="477">
        <v>53</v>
      </c>
      <c r="B107" s="477">
        <v>0.45</v>
      </c>
      <c r="C107" s="477">
        <v>0.15</v>
      </c>
      <c r="D107" s="477">
        <v>3.25</v>
      </c>
      <c r="E107" s="484">
        <f>B107*C107*D107*A107</f>
        <v>11.626875</v>
      </c>
      <c r="G107" s="477">
        <v>55</v>
      </c>
      <c r="H107" s="477">
        <v>0.3</v>
      </c>
      <c r="I107" s="477">
        <v>0.15</v>
      </c>
      <c r="J107" s="477">
        <v>2.5</v>
      </c>
      <c r="K107" s="479">
        <f>H107*I107*J107*G107</f>
        <v>6.1874999999999991</v>
      </c>
    </row>
    <row r="108" spans="1:16">
      <c r="L108" s="400"/>
    </row>
    <row r="109" spans="1:16">
      <c r="A109" s="477"/>
      <c r="B109" s="477"/>
      <c r="C109" s="504" t="s">
        <v>1684</v>
      </c>
      <c r="D109" s="477"/>
      <c r="E109" s="504"/>
    </row>
    <row r="110" spans="1:16">
      <c r="A110" s="477" t="s">
        <v>1557</v>
      </c>
      <c r="B110" s="374" t="s">
        <v>1630</v>
      </c>
      <c r="C110" s="374" t="s">
        <v>1643</v>
      </c>
      <c r="D110" s="477" t="s">
        <v>1559</v>
      </c>
      <c r="E110" s="477" t="s">
        <v>1560</v>
      </c>
      <c r="G110" s="1229" t="s">
        <v>1686</v>
      </c>
      <c r="H110" s="1229"/>
      <c r="I110" s="1229"/>
      <c r="J110" s="1229"/>
      <c r="K110" s="1229"/>
      <c r="P110" s="388"/>
    </row>
    <row r="111" spans="1:16">
      <c r="A111" s="477">
        <v>22</v>
      </c>
      <c r="B111" s="477">
        <v>0.45</v>
      </c>
      <c r="C111" s="477">
        <v>0.15</v>
      </c>
      <c r="D111" s="477">
        <v>4.25</v>
      </c>
      <c r="E111" s="484">
        <f>B111*C111*D111*A111</f>
        <v>6.3112499999999994</v>
      </c>
      <c r="G111" s="482" t="s">
        <v>1630</v>
      </c>
      <c r="H111" s="482" t="s">
        <v>1583</v>
      </c>
      <c r="I111" s="478" t="s">
        <v>1559</v>
      </c>
      <c r="J111" s="482" t="s">
        <v>1687</v>
      </c>
      <c r="K111" s="477"/>
      <c r="P111" s="388"/>
    </row>
    <row r="112" spans="1:16">
      <c r="G112" s="478">
        <v>159.32</v>
      </c>
      <c r="H112" s="477">
        <v>0.15</v>
      </c>
      <c r="I112" s="478">
        <v>0.3</v>
      </c>
      <c r="J112" s="487">
        <f>H112*I112*G112</f>
        <v>7.1693999999999996</v>
      </c>
      <c r="K112" s="477"/>
    </row>
    <row r="113" spans="1:11">
      <c r="A113" s="477"/>
      <c r="B113" s="504"/>
      <c r="C113" s="504" t="s">
        <v>1688</v>
      </c>
      <c r="D113" s="504"/>
    </row>
    <row r="114" spans="1:11">
      <c r="A114" s="482" t="s">
        <v>1582</v>
      </c>
      <c r="B114" s="482" t="s">
        <v>1583</v>
      </c>
      <c r="C114" s="478" t="s">
        <v>1559</v>
      </c>
      <c r="D114" s="478" t="s">
        <v>1560</v>
      </c>
      <c r="G114" s="1207" t="s">
        <v>1689</v>
      </c>
      <c r="H114" s="1207"/>
      <c r="I114" s="412">
        <f>J112</f>
        <v>7.1693999999999996</v>
      </c>
    </row>
    <row r="115" spans="1:11">
      <c r="A115" s="477">
        <v>533.76</v>
      </c>
      <c r="B115" s="478">
        <v>0.15</v>
      </c>
      <c r="C115" s="478">
        <v>0.55000000000000004</v>
      </c>
      <c r="D115" s="484">
        <f>A115*B115*C115</f>
        <v>44.035200000000003</v>
      </c>
      <c r="G115" s="1207" t="s">
        <v>1690</v>
      </c>
      <c r="H115" s="1207"/>
      <c r="I115" s="484">
        <f>K107+D115+E111+E107+E119</f>
        <v>264.67882499999996</v>
      </c>
    </row>
    <row r="117" spans="1:11">
      <c r="A117" s="477"/>
      <c r="B117" s="505" t="s">
        <v>1678</v>
      </c>
      <c r="C117" s="505"/>
      <c r="D117" s="477" t="s">
        <v>1679</v>
      </c>
      <c r="E117" s="477"/>
      <c r="F117" s="477"/>
      <c r="G117" s="506">
        <v>0.15</v>
      </c>
    </row>
    <row r="118" spans="1:11">
      <c r="A118" s="374" t="s">
        <v>1691</v>
      </c>
      <c r="B118" s="477"/>
      <c r="C118" s="477"/>
      <c r="D118" s="477"/>
      <c r="E118" s="477"/>
      <c r="F118" s="477"/>
      <c r="G118" s="477"/>
    </row>
    <row r="119" spans="1:11">
      <c r="A119" s="483">
        <v>1310.1199999999999</v>
      </c>
      <c r="B119" s="477"/>
      <c r="C119" s="477"/>
      <c r="D119" s="374" t="s">
        <v>1682</v>
      </c>
      <c r="E119" s="484">
        <f>G117*A119</f>
        <v>196.51799999999997</v>
      </c>
      <c r="F119" s="477"/>
      <c r="G119" s="477"/>
    </row>
    <row r="121" spans="1:11">
      <c r="C121" s="1230" t="s">
        <v>1692</v>
      </c>
      <c r="D121" s="1230"/>
      <c r="E121" s="1230"/>
      <c r="F121" s="1230"/>
      <c r="G121" s="1230"/>
      <c r="H121" s="1230"/>
      <c r="I121" s="1230"/>
      <c r="J121" s="1230"/>
      <c r="K121" s="1230"/>
    </row>
    <row r="123" spans="1:11">
      <c r="A123" s="374" t="s">
        <v>1576</v>
      </c>
      <c r="B123" s="477"/>
      <c r="C123" s="477"/>
      <c r="D123" s="477"/>
      <c r="E123" s="477">
        <f>I9</f>
        <v>54.699999999999996</v>
      </c>
    </row>
    <row r="124" spans="1:11">
      <c r="A124" s="374" t="s">
        <v>1603</v>
      </c>
      <c r="B124" s="477"/>
      <c r="C124" s="477"/>
      <c r="D124" s="477"/>
      <c r="E124" s="477">
        <f>K31</f>
        <v>28.728000000000002</v>
      </c>
    </row>
    <row r="125" spans="1:11">
      <c r="A125" s="374" t="s">
        <v>1590</v>
      </c>
      <c r="B125" s="477"/>
      <c r="C125" s="477"/>
      <c r="D125" s="477"/>
      <c r="E125" s="477">
        <f>K20</f>
        <v>41.116499999999995</v>
      </c>
    </row>
    <row r="126" spans="1:11">
      <c r="A126" s="374" t="s">
        <v>1376</v>
      </c>
      <c r="B126" s="477"/>
      <c r="C126" s="477"/>
      <c r="D126" s="477"/>
      <c r="E126" s="479">
        <f>SUM(E123:E125)</f>
        <v>124.5445</v>
      </c>
    </row>
  </sheetData>
  <mergeCells count="76">
    <mergeCell ref="G110:K110"/>
    <mergeCell ref="G114:H114"/>
    <mergeCell ref="G115:H115"/>
    <mergeCell ref="C121:K121"/>
    <mergeCell ref="A51:B52"/>
    <mergeCell ref="C51:D52"/>
    <mergeCell ref="E51:F52"/>
    <mergeCell ref="A101:B101"/>
    <mergeCell ref="C101:D101"/>
    <mergeCell ref="C102:D102"/>
    <mergeCell ref="A105:E105"/>
    <mergeCell ref="G105:K105"/>
    <mergeCell ref="N84:O84"/>
    <mergeCell ref="A85:J85"/>
    <mergeCell ref="N85:O85"/>
    <mergeCell ref="A87:C87"/>
    <mergeCell ref="E87:J87"/>
    <mergeCell ref="S75:T75"/>
    <mergeCell ref="A76:J76"/>
    <mergeCell ref="E82:H82"/>
    <mergeCell ref="A83:B83"/>
    <mergeCell ref="E83:F83"/>
    <mergeCell ref="N83:O83"/>
    <mergeCell ref="G70:K70"/>
    <mergeCell ref="N71:T71"/>
    <mergeCell ref="S72:T72"/>
    <mergeCell ref="S73:T73"/>
    <mergeCell ref="G74:H74"/>
    <mergeCell ref="S74:T74"/>
    <mergeCell ref="A62:B62"/>
    <mergeCell ref="F62:I62"/>
    <mergeCell ref="N66:T66"/>
    <mergeCell ref="A69:D69"/>
    <mergeCell ref="S69:T69"/>
    <mergeCell ref="N52:T52"/>
    <mergeCell ref="A54:F54"/>
    <mergeCell ref="A55:E55"/>
    <mergeCell ref="A58:D58"/>
    <mergeCell ref="N59:T59"/>
    <mergeCell ref="N40:T40"/>
    <mergeCell ref="N46:T46"/>
    <mergeCell ref="A49:F49"/>
    <mergeCell ref="A50:B50"/>
    <mergeCell ref="C50:D50"/>
    <mergeCell ref="A35:B35"/>
    <mergeCell ref="N35:T35"/>
    <mergeCell ref="A36:B36"/>
    <mergeCell ref="A39:D39"/>
    <mergeCell ref="F39:J39"/>
    <mergeCell ref="N29:O29"/>
    <mergeCell ref="N30:O30"/>
    <mergeCell ref="A33:D33"/>
    <mergeCell ref="O33:S33"/>
    <mergeCell ref="A34:B34"/>
    <mergeCell ref="S24:T24"/>
    <mergeCell ref="S25:T25"/>
    <mergeCell ref="S26:T26"/>
    <mergeCell ref="A27:E27"/>
    <mergeCell ref="G27:K27"/>
    <mergeCell ref="N18:T18"/>
    <mergeCell ref="S20:T20"/>
    <mergeCell ref="S21:T21"/>
    <mergeCell ref="A23:E23"/>
    <mergeCell ref="G23:K23"/>
    <mergeCell ref="N23:T23"/>
    <mergeCell ref="N9:T9"/>
    <mergeCell ref="A12:E12"/>
    <mergeCell ref="N14:T14"/>
    <mergeCell ref="A16:E16"/>
    <mergeCell ref="G16:L16"/>
    <mergeCell ref="A1:D1"/>
    <mergeCell ref="F1:K1"/>
    <mergeCell ref="N2:S2"/>
    <mergeCell ref="N4:S4"/>
    <mergeCell ref="A5:D5"/>
    <mergeCell ref="F5:K5"/>
  </mergeCells>
  <pageMargins left="0.51180555555555596" right="0.51180555555555596" top="0.78680555555555598" bottom="0.78680555555555598" header="0.31388888888888899" footer="0.31388888888888899"/>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AB397"/>
  <sheetViews>
    <sheetView zoomScale="93" zoomScaleNormal="93" workbookViewId="0">
      <selection activeCell="B193" sqref="B193:C193"/>
    </sheetView>
  </sheetViews>
  <sheetFormatPr defaultColWidth="9" defaultRowHeight="15"/>
  <cols>
    <col min="1" max="1" width="10.140625" customWidth="1"/>
    <col min="2" max="2" width="100.140625" customWidth="1"/>
    <col min="3" max="3" width="14.140625" customWidth="1"/>
    <col min="4" max="4" width="10.42578125" customWidth="1"/>
    <col min="5" max="5" width="10.7109375" customWidth="1"/>
    <col min="6" max="6" width="12.28515625" customWidth="1"/>
    <col min="7" max="7" width="9.85546875" customWidth="1"/>
    <col min="8" max="8" width="14.42578125" customWidth="1"/>
    <col min="9" max="9" width="9" customWidth="1"/>
    <col min="10" max="10" width="11" customWidth="1"/>
    <col min="14" max="14" width="10.42578125" customWidth="1"/>
    <col min="15" max="15" width="9.85546875" customWidth="1"/>
    <col min="17" max="17" width="13.42578125" customWidth="1"/>
    <col min="18" max="18" width="10.7109375" customWidth="1"/>
    <col min="19" max="19" width="16.7109375" customWidth="1"/>
  </cols>
  <sheetData>
    <row r="1" spans="1:20">
      <c r="A1" s="1237" t="s">
        <v>1555</v>
      </c>
      <c r="B1" s="1237"/>
      <c r="C1" s="1237"/>
      <c r="D1" s="1237"/>
      <c r="G1" s="376" t="s">
        <v>1556</v>
      </c>
      <c r="H1" s="377"/>
      <c r="I1" s="377"/>
      <c r="J1" s="377"/>
      <c r="K1" s="397" t="s">
        <v>1581</v>
      </c>
    </row>
    <row r="2" spans="1:20">
      <c r="A2" t="s">
        <v>1557</v>
      </c>
      <c r="B2" t="s">
        <v>1558</v>
      </c>
      <c r="C2" t="s">
        <v>1559</v>
      </c>
      <c r="D2" t="s">
        <v>1560</v>
      </c>
      <c r="G2" t="s">
        <v>1557</v>
      </c>
      <c r="H2" t="s">
        <v>1558</v>
      </c>
      <c r="I2" t="s">
        <v>1559</v>
      </c>
      <c r="J2" t="s">
        <v>1560</v>
      </c>
    </row>
    <row r="3" spans="1:20">
      <c r="A3">
        <v>58</v>
      </c>
      <c r="B3">
        <v>0.3</v>
      </c>
      <c r="C3" s="378">
        <v>3</v>
      </c>
      <c r="D3" s="379">
        <v>12.29</v>
      </c>
      <c r="G3">
        <v>58</v>
      </c>
      <c r="H3">
        <v>0.3</v>
      </c>
      <c r="I3" s="378">
        <v>3</v>
      </c>
      <c r="J3" s="379">
        <v>12.29</v>
      </c>
    </row>
    <row r="5" spans="1:20">
      <c r="A5" s="1238" t="s">
        <v>1563</v>
      </c>
      <c r="B5" s="1237"/>
      <c r="C5" s="1237"/>
      <c r="D5" s="1237"/>
      <c r="G5" s="1238" t="s">
        <v>1564</v>
      </c>
      <c r="H5" s="1237"/>
      <c r="I5" s="1237"/>
      <c r="J5" s="1237"/>
      <c r="K5" s="397" t="s">
        <v>1693</v>
      </c>
      <c r="N5" s="1206" t="s">
        <v>1561</v>
      </c>
      <c r="O5" s="1206"/>
      <c r="P5" s="1206"/>
      <c r="Q5" s="1206"/>
      <c r="R5" s="1206"/>
      <c r="S5" s="1206"/>
    </row>
    <row r="6" spans="1:20">
      <c r="A6" t="s">
        <v>1557</v>
      </c>
      <c r="B6" t="s">
        <v>1558</v>
      </c>
      <c r="C6" t="s">
        <v>1559</v>
      </c>
      <c r="D6" t="s">
        <v>1560</v>
      </c>
      <c r="G6" t="s">
        <v>1557</v>
      </c>
      <c r="H6" t="s">
        <v>1558</v>
      </c>
      <c r="I6" t="s">
        <v>1559</v>
      </c>
      <c r="J6" t="s">
        <v>1560</v>
      </c>
    </row>
    <row r="7" spans="1:20">
      <c r="A7">
        <v>75</v>
      </c>
      <c r="B7">
        <v>0.3</v>
      </c>
      <c r="C7" s="378">
        <v>8</v>
      </c>
      <c r="D7" s="379">
        <v>42.41</v>
      </c>
      <c r="G7">
        <v>75</v>
      </c>
      <c r="H7">
        <v>0.3</v>
      </c>
      <c r="I7" s="378">
        <v>8</v>
      </c>
      <c r="J7" s="379">
        <v>42.41</v>
      </c>
      <c r="M7" s="398"/>
      <c r="N7" s="1208" t="s">
        <v>1562</v>
      </c>
      <c r="O7" s="1208"/>
      <c r="P7" s="1208"/>
      <c r="Q7" s="1208"/>
      <c r="R7" s="1208"/>
      <c r="S7" s="1208"/>
      <c r="T7" s="398"/>
    </row>
    <row r="8" spans="1:20">
      <c r="M8" s="388"/>
      <c r="N8" t="s">
        <v>1565</v>
      </c>
      <c r="O8" t="s">
        <v>1566</v>
      </c>
      <c r="P8" s="399" t="s">
        <v>1567</v>
      </c>
      <c r="Q8" s="405" t="s">
        <v>1568</v>
      </c>
      <c r="R8" t="s">
        <v>1569</v>
      </c>
      <c r="S8" s="378" t="s">
        <v>1570</v>
      </c>
      <c r="T8" s="378"/>
    </row>
    <row r="9" spans="1:20">
      <c r="A9" s="380" t="s">
        <v>1694</v>
      </c>
      <c r="B9" s="381"/>
      <c r="C9" s="381"/>
      <c r="D9" s="381"/>
      <c r="G9" s="380" t="s">
        <v>1580</v>
      </c>
      <c r="H9" s="381"/>
      <c r="I9" s="381"/>
      <c r="J9" s="381"/>
      <c r="K9" s="380" t="s">
        <v>1581</v>
      </c>
      <c r="L9" s="400"/>
      <c r="M9" s="401"/>
      <c r="N9" t="s">
        <v>1571</v>
      </c>
      <c r="O9" t="s">
        <v>1572</v>
      </c>
      <c r="P9">
        <v>626.4</v>
      </c>
      <c r="Q9">
        <v>0.4</v>
      </c>
      <c r="R9">
        <f>P9*Q9</f>
        <v>250.56</v>
      </c>
      <c r="S9" s="378">
        <f>R9*1.1</f>
        <v>275.61600000000004</v>
      </c>
      <c r="T9" s="378"/>
    </row>
    <row r="10" spans="1:20">
      <c r="A10" s="382" t="s">
        <v>1582</v>
      </c>
      <c r="B10" s="382" t="s">
        <v>1583</v>
      </c>
      <c r="C10" s="378" t="s">
        <v>1559</v>
      </c>
      <c r="D10" s="378" t="s">
        <v>1560</v>
      </c>
      <c r="G10" s="382" t="s">
        <v>1582</v>
      </c>
      <c r="H10" s="382" t="s">
        <v>1583</v>
      </c>
      <c r="I10" s="378" t="s">
        <v>1559</v>
      </c>
      <c r="J10" s="378" t="s">
        <v>1584</v>
      </c>
      <c r="L10" s="382"/>
      <c r="N10" t="s">
        <v>1573</v>
      </c>
      <c r="O10" t="s">
        <v>1574</v>
      </c>
      <c r="P10">
        <v>876.96</v>
      </c>
      <c r="Q10">
        <v>0.16</v>
      </c>
      <c r="R10">
        <f>P10*Q10</f>
        <v>140.31360000000001</v>
      </c>
      <c r="S10" s="378">
        <f>R10*1.1</f>
        <v>154.34496000000001</v>
      </c>
      <c r="T10" s="378"/>
    </row>
    <row r="11" spans="1:20">
      <c r="A11" s="378">
        <v>202.02</v>
      </c>
      <c r="B11">
        <v>0.25</v>
      </c>
      <c r="C11" s="378">
        <v>0.4</v>
      </c>
      <c r="D11" s="383">
        <f>B11*C11*A11</f>
        <v>20.202000000000002</v>
      </c>
      <c r="G11" s="378">
        <v>202.02</v>
      </c>
      <c r="H11">
        <v>0.15</v>
      </c>
      <c r="I11" s="378">
        <v>0.3</v>
      </c>
      <c r="J11" s="383">
        <f>H11*I11*G11</f>
        <v>9.0908999999999995</v>
      </c>
      <c r="L11" s="378"/>
    </row>
    <row r="12" spans="1:20">
      <c r="K12" s="388"/>
      <c r="L12" s="388"/>
      <c r="M12" s="402"/>
      <c r="N12" s="1220" t="s">
        <v>1577</v>
      </c>
      <c r="O12" s="1220"/>
      <c r="P12" s="1220"/>
      <c r="Q12" s="1220"/>
      <c r="R12" s="1220"/>
      <c r="S12" s="1220"/>
      <c r="T12" s="1220"/>
    </row>
    <row r="13" spans="1:20">
      <c r="A13" s="1226" t="s">
        <v>1695</v>
      </c>
      <c r="B13" s="1226"/>
      <c r="C13" s="1226"/>
      <c r="D13" s="1226"/>
      <c r="E13" s="1226"/>
      <c r="G13" s="1226" t="s">
        <v>1696</v>
      </c>
      <c r="H13" s="1226"/>
      <c r="I13" s="1226"/>
      <c r="J13" s="1226"/>
      <c r="K13" s="1226"/>
      <c r="L13" s="380" t="s">
        <v>1581</v>
      </c>
      <c r="M13" s="403"/>
      <c r="N13" t="s">
        <v>1565</v>
      </c>
      <c r="O13" t="s">
        <v>1566</v>
      </c>
      <c r="P13" s="399" t="s">
        <v>1567</v>
      </c>
      <c r="Q13" s="405" t="s">
        <v>1568</v>
      </c>
      <c r="R13" t="s">
        <v>1569</v>
      </c>
      <c r="S13" s="378" t="s">
        <v>1570</v>
      </c>
      <c r="T13" s="378"/>
    </row>
    <row r="14" spans="1:20">
      <c r="A14" s="384" t="s">
        <v>1582</v>
      </c>
      <c r="B14" s="384" t="s">
        <v>1583</v>
      </c>
      <c r="C14" t="s">
        <v>1559</v>
      </c>
      <c r="D14" t="s">
        <v>1560</v>
      </c>
      <c r="G14" s="382" t="s">
        <v>1582</v>
      </c>
      <c r="H14" s="382" t="s">
        <v>1583</v>
      </c>
      <c r="I14" s="378" t="s">
        <v>1559</v>
      </c>
      <c r="J14" s="378" t="s">
        <v>1560</v>
      </c>
      <c r="N14" t="s">
        <v>1571</v>
      </c>
      <c r="O14" t="s">
        <v>1572</v>
      </c>
      <c r="P14">
        <v>2160</v>
      </c>
      <c r="Q14">
        <v>0.4</v>
      </c>
      <c r="R14">
        <f>P14*Q14</f>
        <v>864</v>
      </c>
      <c r="S14" s="378">
        <f>R14*1.1</f>
        <v>950.40000000000009</v>
      </c>
      <c r="T14" s="378"/>
    </row>
    <row r="15" spans="1:20">
      <c r="A15">
        <v>533.76</v>
      </c>
      <c r="B15">
        <v>0.3</v>
      </c>
      <c r="C15" s="378">
        <v>0.4</v>
      </c>
      <c r="D15" s="379">
        <f>B15*C15*A15</f>
        <v>64.051199999999994</v>
      </c>
      <c r="G15" s="378">
        <v>533.76</v>
      </c>
      <c r="H15">
        <v>0.2</v>
      </c>
      <c r="I15" s="378">
        <v>0.3</v>
      </c>
      <c r="J15" s="383">
        <f>H15*I15*G15</f>
        <v>32.025599999999997</v>
      </c>
      <c r="N15" t="s">
        <v>1573</v>
      </c>
      <c r="O15" t="s">
        <v>1574</v>
      </c>
      <c r="P15">
        <v>3024</v>
      </c>
      <c r="Q15">
        <v>0.16</v>
      </c>
      <c r="R15">
        <f>P15*Q15</f>
        <v>483.84000000000003</v>
      </c>
      <c r="S15" s="378">
        <f>R15*1.1</f>
        <v>532.22400000000005</v>
      </c>
      <c r="T15" s="378"/>
    </row>
    <row r="17" spans="1:21">
      <c r="N17" s="1208" t="s">
        <v>1585</v>
      </c>
      <c r="O17" s="1208"/>
      <c r="P17" s="1208"/>
      <c r="Q17" s="1208"/>
      <c r="R17" s="1208"/>
      <c r="S17" s="1208"/>
      <c r="T17" s="1208"/>
    </row>
    <row r="18" spans="1:21">
      <c r="A18" s="1239" t="s">
        <v>1697</v>
      </c>
      <c r="B18" s="1239"/>
      <c r="C18" s="1239"/>
      <c r="D18" s="1239"/>
      <c r="E18" s="1239"/>
      <c r="G18" s="1240" t="s">
        <v>1593</v>
      </c>
      <c r="H18" s="1240"/>
      <c r="I18" s="1240"/>
      <c r="J18" s="1240"/>
      <c r="K18" s="1240"/>
      <c r="L18" s="404"/>
      <c r="N18" t="s">
        <v>1565</v>
      </c>
      <c r="O18" t="s">
        <v>1566</v>
      </c>
      <c r="P18" s="399" t="s">
        <v>1567</v>
      </c>
      <c r="Q18" s="405" t="s">
        <v>1568</v>
      </c>
      <c r="R18" t="s">
        <v>1569</v>
      </c>
      <c r="S18" s="378" t="s">
        <v>1570</v>
      </c>
      <c r="T18" s="378"/>
    </row>
    <row r="19" spans="1:21">
      <c r="A19" t="s">
        <v>1557</v>
      </c>
      <c r="B19" t="s">
        <v>1595</v>
      </c>
      <c r="C19" t="s">
        <v>1596</v>
      </c>
      <c r="D19" t="s">
        <v>1559</v>
      </c>
      <c r="E19" s="384" t="s">
        <v>1560</v>
      </c>
      <c r="G19" s="384" t="s">
        <v>1557</v>
      </c>
      <c r="H19" s="382" t="s">
        <v>1595</v>
      </c>
      <c r="I19" s="382" t="s">
        <v>1583</v>
      </c>
      <c r="J19" s="378" t="s">
        <v>1559</v>
      </c>
      <c r="K19" s="378" t="s">
        <v>1560</v>
      </c>
      <c r="N19" t="s">
        <v>1571</v>
      </c>
      <c r="O19" t="s">
        <v>1572</v>
      </c>
      <c r="P19">
        <v>3098.9</v>
      </c>
      <c r="Q19">
        <v>0.4</v>
      </c>
      <c r="R19">
        <f>P19*Q19</f>
        <v>1239.5600000000002</v>
      </c>
      <c r="S19" s="378">
        <v>1363.5160000000001</v>
      </c>
      <c r="T19" s="378"/>
    </row>
    <row r="20" spans="1:21">
      <c r="A20" s="378">
        <v>58</v>
      </c>
      <c r="B20" s="378">
        <v>0.7</v>
      </c>
      <c r="C20" s="378">
        <v>0.7</v>
      </c>
      <c r="D20" s="378">
        <v>0.6</v>
      </c>
      <c r="E20" s="383">
        <f>B20*C20*D20*A20</f>
        <v>17.051999999999996</v>
      </c>
      <c r="G20" s="378">
        <v>58</v>
      </c>
      <c r="H20" s="378">
        <v>0.6</v>
      </c>
      <c r="I20">
        <v>0.6</v>
      </c>
      <c r="J20" s="378">
        <v>0.6</v>
      </c>
      <c r="K20" s="383">
        <f>J20*I20*H20*G20</f>
        <v>12.528</v>
      </c>
    </row>
    <row r="21" spans="1:21">
      <c r="N21" s="1208" t="s">
        <v>1588</v>
      </c>
      <c r="O21" s="1208"/>
      <c r="P21" s="1208"/>
      <c r="Q21" s="1208"/>
      <c r="R21" s="1208"/>
      <c r="S21" s="1208"/>
      <c r="T21" s="1208"/>
    </row>
    <row r="22" spans="1:21">
      <c r="A22" s="1239" t="s">
        <v>1698</v>
      </c>
      <c r="B22" s="1239"/>
      <c r="C22" s="1239"/>
      <c r="D22" s="1239"/>
      <c r="E22" s="1239"/>
      <c r="G22" s="1240" t="s">
        <v>1598</v>
      </c>
      <c r="H22" s="1240"/>
      <c r="I22" s="1240"/>
      <c r="J22" s="1240"/>
      <c r="K22" s="1240"/>
      <c r="L22" s="404"/>
      <c r="N22" t="s">
        <v>1565</v>
      </c>
      <c r="O22" t="s">
        <v>1566</v>
      </c>
      <c r="P22" s="399" t="s">
        <v>1567</v>
      </c>
      <c r="Q22" s="405" t="s">
        <v>1568</v>
      </c>
      <c r="R22" t="s">
        <v>1569</v>
      </c>
      <c r="S22" s="378" t="s">
        <v>1570</v>
      </c>
      <c r="T22" s="378"/>
    </row>
    <row r="23" spans="1:21">
      <c r="A23" t="s">
        <v>1557</v>
      </c>
      <c r="B23" t="s">
        <v>1595</v>
      </c>
      <c r="C23" t="s">
        <v>1596</v>
      </c>
      <c r="D23" t="s">
        <v>1559</v>
      </c>
      <c r="E23" t="s">
        <v>1560</v>
      </c>
      <c r="G23" s="384" t="s">
        <v>1557</v>
      </c>
      <c r="H23" s="382" t="s">
        <v>1595</v>
      </c>
      <c r="I23" s="382" t="s">
        <v>1583</v>
      </c>
      <c r="J23" s="378" t="s">
        <v>1559</v>
      </c>
      <c r="K23" s="378" t="s">
        <v>1560</v>
      </c>
      <c r="N23" t="s">
        <v>1571</v>
      </c>
      <c r="O23" t="s">
        <v>1591</v>
      </c>
      <c r="P23">
        <v>2191.56</v>
      </c>
      <c r="Q23">
        <v>0.63</v>
      </c>
      <c r="R23">
        <f>P23*Q23</f>
        <v>1380.6828</v>
      </c>
      <c r="S23" s="1222">
        <f>R23*1.1</f>
        <v>1518.7510800000002</v>
      </c>
      <c r="T23" s="1222"/>
    </row>
    <row r="24" spans="1:21">
      <c r="A24">
        <v>75</v>
      </c>
      <c r="B24">
        <v>0.7</v>
      </c>
      <c r="C24">
        <v>0.7</v>
      </c>
      <c r="D24">
        <v>0.6</v>
      </c>
      <c r="E24" s="379">
        <f>B24*C24*D24*A24</f>
        <v>22.049999999999994</v>
      </c>
      <c r="G24" s="378">
        <v>75</v>
      </c>
      <c r="H24" s="378">
        <v>0.6</v>
      </c>
      <c r="I24">
        <v>0.6</v>
      </c>
      <c r="J24" s="378">
        <v>0.6</v>
      </c>
      <c r="K24" s="383">
        <f>J24*I24*H24*G24</f>
        <v>16.2</v>
      </c>
      <c r="N24" t="s">
        <v>1573</v>
      </c>
      <c r="O24" t="s">
        <v>1574</v>
      </c>
      <c r="P24">
        <v>3214.22</v>
      </c>
      <c r="Q24">
        <v>0.16</v>
      </c>
      <c r="R24">
        <f>P24*Q24</f>
        <v>514.27519999999993</v>
      </c>
      <c r="S24" s="1222">
        <f>R24*1.1</f>
        <v>565.70272</v>
      </c>
      <c r="T24" s="1222"/>
    </row>
    <row r="26" spans="1:21">
      <c r="A26" s="385" t="s">
        <v>1699</v>
      </c>
      <c r="B26" s="386"/>
      <c r="D26" s="385" t="s">
        <v>1700</v>
      </c>
      <c r="E26" s="386"/>
      <c r="G26" s="385" t="s">
        <v>1701</v>
      </c>
      <c r="H26" s="386"/>
      <c r="I26" s="386"/>
      <c r="N26" s="1208" t="s">
        <v>1594</v>
      </c>
      <c r="O26" s="1208"/>
      <c r="P26" s="1208"/>
      <c r="Q26" s="1208"/>
      <c r="R26" s="1208"/>
      <c r="S26" s="1208"/>
      <c r="T26" s="1208"/>
    </row>
    <row r="27" spans="1:21">
      <c r="A27" s="387">
        <f>D3+D7+D11+D15+E20+E24</f>
        <v>178.05519999999996</v>
      </c>
      <c r="B27" t="s">
        <v>1702</v>
      </c>
      <c r="C27" s="388"/>
      <c r="D27" s="389">
        <f>D11+D15+E20+E24</f>
        <v>123.35519999999998</v>
      </c>
      <c r="E27" t="s">
        <v>1702</v>
      </c>
      <c r="G27" s="387">
        <f>A27-D27</f>
        <v>54.699999999999974</v>
      </c>
      <c r="H27" t="s">
        <v>1702</v>
      </c>
      <c r="N27" t="s">
        <v>1565</v>
      </c>
      <c r="O27" t="s">
        <v>1566</v>
      </c>
      <c r="P27" s="399" t="s">
        <v>1567</v>
      </c>
      <c r="Q27" s="405" t="s">
        <v>1568</v>
      </c>
      <c r="R27" t="s">
        <v>1569</v>
      </c>
      <c r="S27" s="1221" t="s">
        <v>1570</v>
      </c>
      <c r="T27" s="1221"/>
    </row>
    <row r="28" spans="1:21">
      <c r="N28" t="s">
        <v>1571</v>
      </c>
      <c r="O28" t="s">
        <v>1591</v>
      </c>
      <c r="P28">
        <v>834.24</v>
      </c>
      <c r="Q28">
        <v>0.63</v>
      </c>
      <c r="R28">
        <f>P28*Q28</f>
        <v>525.57119999999998</v>
      </c>
      <c r="S28" s="1222">
        <f>R28*1.1</f>
        <v>578.12832000000003</v>
      </c>
      <c r="T28" s="1222"/>
    </row>
    <row r="29" spans="1:21">
      <c r="D29" s="390" t="s">
        <v>1703</v>
      </c>
      <c r="E29" s="391"/>
      <c r="F29" s="391"/>
      <c r="G29" s="391"/>
      <c r="N29" t="s">
        <v>1573</v>
      </c>
      <c r="O29" t="s">
        <v>1574</v>
      </c>
      <c r="P29">
        <v>1084.51</v>
      </c>
      <c r="Q29">
        <v>0.16</v>
      </c>
      <c r="R29">
        <f>P29*Q29</f>
        <v>173.52160000000001</v>
      </c>
      <c r="S29" s="1222">
        <f>R29*1.1</f>
        <v>190.87376000000003</v>
      </c>
      <c r="T29" s="1222"/>
    </row>
    <row r="30" spans="1:21">
      <c r="A30" s="1241" t="s">
        <v>1684</v>
      </c>
      <c r="B30" s="1241"/>
      <c r="C30" s="1241"/>
      <c r="D30" s="1241"/>
      <c r="E30" s="1241"/>
      <c r="G30" s="1241" t="s">
        <v>1685</v>
      </c>
      <c r="H30" s="1241"/>
      <c r="I30" s="1241"/>
      <c r="J30" s="1241"/>
      <c r="K30" s="1241"/>
    </row>
    <row r="31" spans="1:21">
      <c r="A31" t="s">
        <v>1557</v>
      </c>
      <c r="B31" t="s">
        <v>1595</v>
      </c>
      <c r="C31" t="s">
        <v>1596</v>
      </c>
      <c r="D31" t="s">
        <v>1559</v>
      </c>
      <c r="E31" t="s">
        <v>1560</v>
      </c>
      <c r="G31" t="s">
        <v>1557</v>
      </c>
      <c r="H31" s="384" t="s">
        <v>1595</v>
      </c>
      <c r="I31" t="s">
        <v>1596</v>
      </c>
      <c r="J31" t="s">
        <v>1559</v>
      </c>
      <c r="K31" t="s">
        <v>1560</v>
      </c>
      <c r="N31" s="384" t="s">
        <v>1599</v>
      </c>
    </row>
    <row r="32" spans="1:21">
      <c r="A32">
        <v>53</v>
      </c>
      <c r="B32">
        <v>0.45</v>
      </c>
      <c r="C32">
        <v>0.15</v>
      </c>
      <c r="D32">
        <v>3.25</v>
      </c>
      <c r="E32" s="379">
        <f>B32*C32*D32*A32</f>
        <v>11.626875</v>
      </c>
      <c r="G32">
        <v>55</v>
      </c>
      <c r="H32">
        <v>0.3</v>
      </c>
      <c r="I32">
        <v>0.15</v>
      </c>
      <c r="J32">
        <v>2.5</v>
      </c>
      <c r="K32" s="379">
        <f>H32*I32*J32*G32</f>
        <v>6.1874999999999991</v>
      </c>
      <c r="N32" s="1207" t="s">
        <v>1600</v>
      </c>
      <c r="O32" s="1207"/>
      <c r="P32" s="1242">
        <f>SUM(S9,S14,S19,S23,S28)</f>
        <v>4686.4114</v>
      </c>
      <c r="Q32" s="1242"/>
      <c r="U32" s="384"/>
    </row>
    <row r="33" spans="1:23">
      <c r="L33" s="400"/>
      <c r="N33" s="1207" t="s">
        <v>1601</v>
      </c>
      <c r="O33" s="1207"/>
      <c r="P33" s="1242">
        <f>S10+S15+S24+S29</f>
        <v>1443.14544</v>
      </c>
      <c r="Q33" s="1242"/>
      <c r="V33" s="407"/>
      <c r="W33" s="388"/>
    </row>
    <row r="34" spans="1:23">
      <c r="C34" s="392" t="s">
        <v>1684</v>
      </c>
      <c r="E34" s="392"/>
      <c r="V34" s="388"/>
      <c r="W34" s="388"/>
    </row>
    <row r="35" spans="1:23">
      <c r="A35" t="s">
        <v>1557</v>
      </c>
      <c r="B35" t="s">
        <v>1595</v>
      </c>
      <c r="C35" t="s">
        <v>1596</v>
      </c>
      <c r="D35" t="s">
        <v>1559</v>
      </c>
      <c r="E35" t="s">
        <v>1560</v>
      </c>
      <c r="I35" s="393" t="s">
        <v>1686</v>
      </c>
      <c r="J35" s="393"/>
      <c r="K35" s="393"/>
    </row>
    <row r="36" spans="1:23">
      <c r="A36">
        <v>22</v>
      </c>
      <c r="B36">
        <v>0.45</v>
      </c>
      <c r="C36">
        <v>0.15</v>
      </c>
      <c r="D36">
        <v>4.25</v>
      </c>
      <c r="E36" s="379">
        <f>B36*C36*D36*A36</f>
        <v>6.3112499999999994</v>
      </c>
      <c r="G36" s="382" t="s">
        <v>1630</v>
      </c>
      <c r="H36" s="382" t="s">
        <v>1583</v>
      </c>
      <c r="I36" s="378" t="s">
        <v>1559</v>
      </c>
      <c r="J36" s="378" t="s">
        <v>1584</v>
      </c>
      <c r="O36" s="1206" t="s">
        <v>1605</v>
      </c>
      <c r="P36" s="1206"/>
      <c r="Q36" s="1206"/>
      <c r="R36" s="1206"/>
      <c r="S36" s="1206"/>
    </row>
    <row r="37" spans="1:23">
      <c r="G37" s="378">
        <v>159.32</v>
      </c>
      <c r="H37">
        <v>0.15</v>
      </c>
      <c r="I37" s="378">
        <v>0.3</v>
      </c>
      <c r="J37" s="383">
        <f>H37*I37*G37</f>
        <v>7.1693999999999996</v>
      </c>
    </row>
    <row r="38" spans="1:23">
      <c r="B38" s="392"/>
      <c r="C38" s="392" t="s">
        <v>1688</v>
      </c>
      <c r="D38" s="392"/>
      <c r="N38" s="1208" t="s">
        <v>1608</v>
      </c>
      <c r="O38" s="1208"/>
      <c r="P38" s="1208"/>
      <c r="Q38" s="1208"/>
      <c r="R38" s="1208"/>
      <c r="S38" s="1208"/>
      <c r="T38" s="1208"/>
    </row>
    <row r="39" spans="1:23">
      <c r="A39" s="382" t="s">
        <v>1582</v>
      </c>
      <c r="B39" s="382" t="s">
        <v>1583</v>
      </c>
      <c r="C39" s="378" t="s">
        <v>1559</v>
      </c>
      <c r="D39" s="378" t="s">
        <v>1560</v>
      </c>
      <c r="N39" t="s">
        <v>1565</v>
      </c>
      <c r="O39" t="s">
        <v>1566</v>
      </c>
      <c r="P39" s="399" t="s">
        <v>1567</v>
      </c>
      <c r="Q39" s="405" t="s">
        <v>1568</v>
      </c>
      <c r="R39" t="s">
        <v>1569</v>
      </c>
      <c r="S39" s="378" t="s">
        <v>1570</v>
      </c>
      <c r="T39" s="378"/>
    </row>
    <row r="40" spans="1:23">
      <c r="A40">
        <v>533.76</v>
      </c>
      <c r="B40" s="378">
        <v>0.15</v>
      </c>
      <c r="C40" s="378">
        <v>0.55000000000000004</v>
      </c>
      <c r="D40">
        <f>A40*B40*C40</f>
        <v>44.035200000000003</v>
      </c>
      <c r="N40" t="s">
        <v>1571</v>
      </c>
      <c r="O40" t="s">
        <v>1591</v>
      </c>
      <c r="P40">
        <v>594</v>
      </c>
      <c r="Q40">
        <v>0.63</v>
      </c>
      <c r="R40">
        <f>P40*Q40</f>
        <v>374.22</v>
      </c>
      <c r="S40" s="378">
        <v>411.642</v>
      </c>
      <c r="T40" s="378"/>
    </row>
    <row r="41" spans="1:23">
      <c r="N41" t="s">
        <v>1573</v>
      </c>
      <c r="O41" t="s">
        <v>1574</v>
      </c>
      <c r="P41">
        <v>772.2</v>
      </c>
      <c r="Q41">
        <v>0.16</v>
      </c>
      <c r="R41">
        <f>P41*Q41</f>
        <v>123.55200000000001</v>
      </c>
      <c r="S41" s="378">
        <f>R41*1.1</f>
        <v>135.90720000000002</v>
      </c>
      <c r="T41" s="378"/>
    </row>
    <row r="42" spans="1:23">
      <c r="B42" s="393" t="s">
        <v>1678</v>
      </c>
      <c r="C42" s="393"/>
      <c r="D42" t="s">
        <v>1679</v>
      </c>
      <c r="G42" s="64">
        <v>0.15</v>
      </c>
    </row>
    <row r="43" spans="1:23">
      <c r="A43" s="384" t="s">
        <v>1691</v>
      </c>
      <c r="N43" s="1208" t="s">
        <v>1613</v>
      </c>
      <c r="O43" s="1208"/>
      <c r="P43" s="1208"/>
      <c r="Q43" s="1208"/>
      <c r="R43" s="1208"/>
      <c r="S43" s="1208"/>
      <c r="T43" s="1208"/>
    </row>
    <row r="44" spans="1:23">
      <c r="A44" s="378">
        <v>1310.1199999999999</v>
      </c>
      <c r="D44" s="384" t="s">
        <v>1682</v>
      </c>
      <c r="E44">
        <f>G42*A44</f>
        <v>196.51799999999997</v>
      </c>
      <c r="N44" t="s">
        <v>1565</v>
      </c>
      <c r="O44" t="s">
        <v>1566</v>
      </c>
      <c r="P44" s="399" t="s">
        <v>1567</v>
      </c>
      <c r="Q44" s="405" t="s">
        <v>1568</v>
      </c>
      <c r="R44" t="s">
        <v>1569</v>
      </c>
      <c r="S44" s="378" t="s">
        <v>1570</v>
      </c>
      <c r="T44" s="378"/>
    </row>
    <row r="45" spans="1:23">
      <c r="N45" t="s">
        <v>1571</v>
      </c>
      <c r="O45" t="s">
        <v>1591</v>
      </c>
      <c r="P45">
        <v>1272</v>
      </c>
      <c r="Q45">
        <v>0.63</v>
      </c>
      <c r="R45">
        <f>P45*Q45</f>
        <v>801.36</v>
      </c>
      <c r="S45" s="406">
        <f>R45*1.1</f>
        <v>881.49600000000009</v>
      </c>
      <c r="T45" s="406"/>
    </row>
    <row r="46" spans="1:23">
      <c r="A46" s="1243" t="s">
        <v>1704</v>
      </c>
      <c r="B46" s="1243"/>
      <c r="C46" s="1243"/>
      <c r="D46" s="1243"/>
      <c r="F46" s="1243" t="s">
        <v>1611</v>
      </c>
      <c r="G46" s="1243"/>
      <c r="H46" s="1243"/>
      <c r="I46" s="1243"/>
      <c r="J46" s="1243"/>
      <c r="N46" t="s">
        <v>1573</v>
      </c>
      <c r="O46" t="s">
        <v>1574</v>
      </c>
      <c r="P46">
        <v>1488.24</v>
      </c>
      <c r="Q46">
        <v>0.16</v>
      </c>
      <c r="R46">
        <f>P46*Q46</f>
        <v>238.11840000000001</v>
      </c>
      <c r="S46" s="406">
        <v>261.93024000000003</v>
      </c>
      <c r="T46" s="406"/>
    </row>
    <row r="47" spans="1:23">
      <c r="A47" s="384" t="s">
        <v>1612</v>
      </c>
      <c r="F47" s="384" t="s">
        <v>1612</v>
      </c>
      <c r="N47" t="s">
        <v>1573</v>
      </c>
      <c r="O47" t="s">
        <v>1574</v>
      </c>
      <c r="P47">
        <v>275.60000000000002</v>
      </c>
      <c r="Q47">
        <v>0.16</v>
      </c>
      <c r="R47">
        <f>P47*Q47</f>
        <v>44.096000000000004</v>
      </c>
      <c r="S47" s="406">
        <f>R47*1.1</f>
        <v>48.505600000000008</v>
      </c>
      <c r="T47" s="406"/>
    </row>
    <row r="48" spans="1:23">
      <c r="A48" s="379">
        <f>E20-K20</f>
        <v>4.5239999999999956</v>
      </c>
      <c r="F48" s="379">
        <f>D11-J11</f>
        <v>11.111100000000002</v>
      </c>
    </row>
    <row r="49" spans="1:23">
      <c r="N49" s="1208" t="s">
        <v>1613</v>
      </c>
      <c r="O49" s="1208"/>
      <c r="P49" s="1208"/>
      <c r="Q49" s="1208"/>
      <c r="R49" s="1208"/>
      <c r="S49" s="1208"/>
      <c r="T49" s="1208"/>
    </row>
    <row r="50" spans="1:23">
      <c r="A50" s="1244" t="s">
        <v>1705</v>
      </c>
      <c r="B50" s="1244"/>
      <c r="C50" s="1244"/>
      <c r="D50" s="1244"/>
      <c r="F50" s="1243" t="s">
        <v>1615</v>
      </c>
      <c r="G50" s="1243"/>
      <c r="H50" s="1243"/>
      <c r="I50" s="1243"/>
      <c r="J50" s="1243"/>
      <c r="N50" t="s">
        <v>1565</v>
      </c>
      <c r="O50" t="s">
        <v>1566</v>
      </c>
      <c r="P50" s="399" t="s">
        <v>1567</v>
      </c>
      <c r="Q50" s="405" t="s">
        <v>1568</v>
      </c>
      <c r="R50" t="s">
        <v>1569</v>
      </c>
      <c r="S50" s="378" t="s">
        <v>1570</v>
      </c>
      <c r="T50" s="378"/>
    </row>
    <row r="51" spans="1:23">
      <c r="A51" s="384" t="s">
        <v>1612</v>
      </c>
      <c r="F51" s="384" t="s">
        <v>1612</v>
      </c>
      <c r="N51" t="s">
        <v>1571</v>
      </c>
      <c r="O51" t="s">
        <v>1591</v>
      </c>
      <c r="P51">
        <v>660</v>
      </c>
      <c r="Q51">
        <v>0.63</v>
      </c>
      <c r="R51" s="136">
        <f>P51*Q51</f>
        <v>415.8</v>
      </c>
      <c r="S51" s="406">
        <f>R51*1.1</f>
        <v>457.38000000000005</v>
      </c>
      <c r="T51" s="406"/>
    </row>
    <row r="52" spans="1:23">
      <c r="A52" s="379">
        <f>E24-K24</f>
        <v>5.8499999999999943</v>
      </c>
      <c r="F52" s="379">
        <f>D15-J15</f>
        <v>32.025599999999997</v>
      </c>
      <c r="N52" t="s">
        <v>1573</v>
      </c>
      <c r="O52" t="s">
        <v>1574</v>
      </c>
      <c r="P52">
        <v>760.32</v>
      </c>
      <c r="Q52">
        <v>0.16</v>
      </c>
      <c r="R52" s="136">
        <f>P52*Q52</f>
        <v>121.65120000000002</v>
      </c>
      <c r="S52" s="406">
        <f>R52*1.1</f>
        <v>133.81632000000002</v>
      </c>
      <c r="T52" s="406"/>
      <c r="W52" s="388"/>
    </row>
    <row r="53" spans="1:23">
      <c r="A53" s="384" t="s">
        <v>1616</v>
      </c>
      <c r="B53" s="379">
        <f>A48+A52+F48+F52</f>
        <v>53.510699999999986</v>
      </c>
      <c r="N53" t="s">
        <v>1573</v>
      </c>
      <c r="O53" t="s">
        <v>1574</v>
      </c>
      <c r="P53">
        <v>140.08000000000001</v>
      </c>
      <c r="Q53">
        <v>0.16</v>
      </c>
      <c r="R53" s="136">
        <f>P53*Q53</f>
        <v>22.412800000000001</v>
      </c>
      <c r="S53" s="406">
        <f>R53*1.1</f>
        <v>24.654080000000004</v>
      </c>
      <c r="T53" s="406"/>
    </row>
    <row r="55" spans="1:23">
      <c r="A55" s="394" t="s">
        <v>1706</v>
      </c>
      <c r="B55" s="394"/>
      <c r="C55" s="394" t="s">
        <v>1707</v>
      </c>
      <c r="D55" s="394"/>
      <c r="E55" s="385" t="s">
        <v>1708</v>
      </c>
      <c r="F55" s="385"/>
      <c r="G55" s="388"/>
      <c r="I55" s="388"/>
      <c r="N55" s="1208" t="s">
        <v>1620</v>
      </c>
      <c r="O55" s="1208"/>
      <c r="P55" s="1208"/>
      <c r="Q55" s="1208"/>
      <c r="R55" s="1208"/>
      <c r="S55" s="1208"/>
      <c r="T55" s="1208"/>
    </row>
    <row r="56" spans="1:23">
      <c r="A56" s="1221">
        <f>A27-B53</f>
        <v>124.54449999999997</v>
      </c>
      <c r="B56" s="1221"/>
      <c r="C56" s="1221">
        <v>1.3</v>
      </c>
      <c r="D56" s="1221"/>
      <c r="E56" s="1242">
        <f>A56*C56</f>
        <v>161.90784999999997</v>
      </c>
      <c r="F56" s="1242"/>
      <c r="N56" t="s">
        <v>1565</v>
      </c>
      <c r="O56" t="s">
        <v>1566</v>
      </c>
      <c r="P56" s="399" t="s">
        <v>1567</v>
      </c>
      <c r="Q56" s="405" t="s">
        <v>1568</v>
      </c>
      <c r="R56" t="s">
        <v>1569</v>
      </c>
      <c r="S56" s="378" t="s">
        <v>1570</v>
      </c>
      <c r="T56" s="378"/>
    </row>
    <row r="57" spans="1:23">
      <c r="A57" s="384"/>
      <c r="N57" t="s">
        <v>1571</v>
      </c>
      <c r="O57" t="s">
        <v>1622</v>
      </c>
      <c r="P57">
        <v>980.58</v>
      </c>
      <c r="Q57">
        <v>1</v>
      </c>
      <c r="R57" s="136">
        <f>P57*Q57</f>
        <v>980.58</v>
      </c>
      <c r="S57" s="406">
        <f>R57*1.1</f>
        <v>1078.6380000000001</v>
      </c>
      <c r="T57" s="406"/>
    </row>
    <row r="58" spans="1:23">
      <c r="B58" s="1245" t="s">
        <v>1709</v>
      </c>
      <c r="C58" s="1246"/>
      <c r="D58" s="1246"/>
      <c r="E58" s="1246"/>
      <c r="F58" s="1246"/>
      <c r="G58" s="1246"/>
      <c r="H58" s="1246"/>
      <c r="I58" s="1246"/>
      <c r="J58" s="1246"/>
      <c r="N58" t="s">
        <v>1571</v>
      </c>
      <c r="O58" t="s">
        <v>1591</v>
      </c>
      <c r="P58">
        <v>1961.16</v>
      </c>
      <c r="Q58">
        <v>0.63</v>
      </c>
      <c r="R58" s="136">
        <f>P58*Q58</f>
        <v>1235.5308</v>
      </c>
      <c r="S58" s="406">
        <f>R58*1.1</f>
        <v>1359.0838800000001</v>
      </c>
      <c r="T58" s="406"/>
    </row>
    <row r="59" spans="1:23">
      <c r="N59" t="s">
        <v>1573</v>
      </c>
      <c r="O59" t="s">
        <v>1574</v>
      </c>
      <c r="P59">
        <v>4118.18</v>
      </c>
      <c r="Q59">
        <v>0.16</v>
      </c>
      <c r="R59" s="136">
        <f>P59*Q59</f>
        <v>658.90880000000004</v>
      </c>
      <c r="S59" s="406">
        <f>R59*1.1</f>
        <v>724.79968000000008</v>
      </c>
      <c r="T59" s="406"/>
    </row>
    <row r="60" spans="1:23">
      <c r="A60" s="1207" t="s">
        <v>1659</v>
      </c>
      <c r="B60" s="1207"/>
      <c r="C60" s="1207"/>
      <c r="D60" s="1207"/>
      <c r="E60" s="1207"/>
      <c r="J60" s="388"/>
      <c r="K60" s="388"/>
      <c r="L60" s="388"/>
      <c r="N60" t="s">
        <v>1573</v>
      </c>
      <c r="O60" t="s">
        <v>1574</v>
      </c>
      <c r="P60">
        <v>653.67999999999995</v>
      </c>
      <c r="Q60">
        <v>0.16</v>
      </c>
      <c r="R60" s="136">
        <f>P60*Q60</f>
        <v>104.58879999999999</v>
      </c>
      <c r="S60" s="406">
        <f>R60*1.1</f>
        <v>115.04768</v>
      </c>
      <c r="T60" s="406"/>
    </row>
    <row r="61" spans="1:23">
      <c r="A61" s="384" t="s">
        <v>1661</v>
      </c>
      <c r="C61" s="378"/>
      <c r="D61" s="378"/>
      <c r="E61" s="395">
        <v>83.52</v>
      </c>
    </row>
    <row r="62" spans="1:23">
      <c r="A62" s="384" t="s">
        <v>1662</v>
      </c>
      <c r="E62" s="395">
        <v>108</v>
      </c>
      <c r="N62" s="1208" t="s">
        <v>1634</v>
      </c>
      <c r="O62" s="1208"/>
      <c r="P62" s="1208"/>
      <c r="Q62" s="1208"/>
      <c r="R62" s="1208"/>
      <c r="S62" s="1208"/>
      <c r="T62" s="1208"/>
    </row>
    <row r="63" spans="1:23">
      <c r="N63" t="s">
        <v>1565</v>
      </c>
      <c r="O63" t="s">
        <v>1566</v>
      </c>
      <c r="P63" s="399" t="s">
        <v>1567</v>
      </c>
      <c r="Q63" s="405" t="s">
        <v>1568</v>
      </c>
      <c r="R63" t="s">
        <v>1569</v>
      </c>
      <c r="S63" s="378" t="s">
        <v>1570</v>
      </c>
      <c r="T63" s="378"/>
    </row>
    <row r="64" spans="1:23">
      <c r="A64" s="1207" t="s">
        <v>1663</v>
      </c>
      <c r="B64" s="1207"/>
      <c r="C64" s="1207"/>
      <c r="F64" s="396" t="s">
        <v>1664</v>
      </c>
      <c r="G64" s="396"/>
      <c r="H64" s="396"/>
      <c r="N64" t="s">
        <v>1571</v>
      </c>
      <c r="O64" t="s">
        <v>1622</v>
      </c>
      <c r="P64">
        <v>115.2</v>
      </c>
      <c r="Q64">
        <v>1</v>
      </c>
      <c r="R64" s="136">
        <f>P64*Q64</f>
        <v>115.2</v>
      </c>
      <c r="S64" s="406">
        <f>R64*1.1</f>
        <v>126.72000000000001</v>
      </c>
      <c r="T64" s="406"/>
    </row>
    <row r="65" spans="1:28">
      <c r="A65" s="1207" t="s">
        <v>1665</v>
      </c>
      <c r="B65" s="1207"/>
      <c r="C65" s="408">
        <v>121.21</v>
      </c>
      <c r="F65" s="1207" t="s">
        <v>1666</v>
      </c>
      <c r="G65" s="1207"/>
      <c r="H65" s="408">
        <v>320.25</v>
      </c>
      <c r="N65" t="s">
        <v>1571</v>
      </c>
      <c r="O65" t="s">
        <v>1591</v>
      </c>
      <c r="P65">
        <v>345.6</v>
      </c>
      <c r="Q65">
        <v>0.63</v>
      </c>
      <c r="R65" s="136">
        <f>P65*Q65</f>
        <v>217.72800000000001</v>
      </c>
      <c r="S65" s="406">
        <f>R65*1.1</f>
        <v>239.50080000000003</v>
      </c>
      <c r="T65" s="406"/>
    </row>
    <row r="66" spans="1:28">
      <c r="N66" t="s">
        <v>1573</v>
      </c>
      <c r="O66" t="s">
        <v>1574</v>
      </c>
      <c r="P66">
        <v>483.84</v>
      </c>
      <c r="Q66">
        <v>0.16</v>
      </c>
      <c r="R66" s="136">
        <f>P66*Q66</f>
        <v>77.414400000000001</v>
      </c>
      <c r="S66" s="406">
        <f>R66*1.1</f>
        <v>85.155840000000012</v>
      </c>
      <c r="T66" s="406"/>
    </row>
    <row r="67" spans="1:28">
      <c r="A67" s="1207" t="s">
        <v>1670</v>
      </c>
      <c r="B67" s="1207"/>
      <c r="C67" s="1207"/>
      <c r="E67" s="1207" t="s">
        <v>1671</v>
      </c>
      <c r="F67" s="1207"/>
      <c r="G67" s="1207"/>
      <c r="H67" s="1207"/>
      <c r="I67" s="1207"/>
      <c r="J67" s="1207"/>
      <c r="K67" s="1207"/>
      <c r="L67" s="382"/>
      <c r="N67" t="s">
        <v>1573</v>
      </c>
      <c r="O67" t="s">
        <v>1574</v>
      </c>
      <c r="P67">
        <v>76.8</v>
      </c>
      <c r="Q67">
        <v>0.16</v>
      </c>
      <c r="R67" s="136">
        <f>P67*Q67</f>
        <v>12.288</v>
      </c>
      <c r="S67" s="406">
        <f>R67*1.1</f>
        <v>13.516800000000002</v>
      </c>
      <c r="T67" s="406"/>
    </row>
    <row r="68" spans="1:28">
      <c r="A68" s="384" t="s">
        <v>1557</v>
      </c>
      <c r="B68">
        <v>55</v>
      </c>
      <c r="C68" s="408">
        <f>B68*((B69*B71*2)+(B70*B71*2))</f>
        <v>137.5</v>
      </c>
      <c r="E68" s="384" t="s">
        <v>1557</v>
      </c>
      <c r="F68">
        <v>53</v>
      </c>
      <c r="G68" s="408">
        <f>F68*((F69*F71*2)+(F70*F71*2))</f>
        <v>223.92500000000004</v>
      </c>
      <c r="I68" s="384" t="s">
        <v>1557</v>
      </c>
      <c r="J68">
        <v>22</v>
      </c>
      <c r="K68" s="408">
        <f>J68*((J69*J71*2)+(J70*J71*2))</f>
        <v>121.55000000000001</v>
      </c>
    </row>
    <row r="69" spans="1:28">
      <c r="A69" s="384" t="s">
        <v>1710</v>
      </c>
      <c r="B69">
        <v>0.2</v>
      </c>
      <c r="E69" s="384" t="s">
        <v>1710</v>
      </c>
      <c r="F69">
        <v>0.2</v>
      </c>
      <c r="I69" s="384" t="s">
        <v>1710</v>
      </c>
      <c r="J69">
        <v>0.2</v>
      </c>
      <c r="N69" s="1220" t="s">
        <v>1645</v>
      </c>
      <c r="O69" s="1220"/>
      <c r="P69" s="1220"/>
      <c r="Q69" s="1220"/>
      <c r="R69" s="1220"/>
      <c r="S69" s="1220"/>
      <c r="T69" s="1220"/>
    </row>
    <row r="70" spans="1:28">
      <c r="A70" s="384" t="s">
        <v>1711</v>
      </c>
      <c r="B70">
        <v>0.3</v>
      </c>
      <c r="E70" s="384" t="s">
        <v>1711</v>
      </c>
      <c r="F70">
        <v>0.45</v>
      </c>
      <c r="I70" s="384" t="s">
        <v>1711</v>
      </c>
      <c r="J70">
        <v>0.45</v>
      </c>
      <c r="N70" t="s">
        <v>1565</v>
      </c>
      <c r="O70" t="s">
        <v>1566</v>
      </c>
      <c r="P70" s="399" t="s">
        <v>1567</v>
      </c>
      <c r="Q70" s="405" t="s">
        <v>1568</v>
      </c>
      <c r="R70" t="s">
        <v>1569</v>
      </c>
      <c r="S70" s="378" t="s">
        <v>1570</v>
      </c>
      <c r="T70" s="378"/>
    </row>
    <row r="71" spans="1:28">
      <c r="A71" s="384" t="s">
        <v>1712</v>
      </c>
      <c r="B71">
        <v>2.5</v>
      </c>
      <c r="E71" s="384" t="s">
        <v>1712</v>
      </c>
      <c r="F71">
        <v>3.25</v>
      </c>
      <c r="I71" s="384" t="s">
        <v>1712</v>
      </c>
      <c r="J71">
        <v>4.25</v>
      </c>
      <c r="N71" t="s">
        <v>1571</v>
      </c>
      <c r="O71" s="384" t="s">
        <v>1572</v>
      </c>
      <c r="P71">
        <v>696.84</v>
      </c>
      <c r="Q71">
        <v>0.4</v>
      </c>
      <c r="R71" s="136">
        <f>P71*Q71</f>
        <v>278.73600000000005</v>
      </c>
      <c r="S71" s="406">
        <f>R71*1.1</f>
        <v>306.60960000000006</v>
      </c>
      <c r="T71" s="406"/>
    </row>
    <row r="72" spans="1:28">
      <c r="E72" s="384" t="s">
        <v>1376</v>
      </c>
      <c r="K72" s="408">
        <f>K68+G68</f>
        <v>345.47500000000002</v>
      </c>
      <c r="N72" s="384" t="s">
        <v>1573</v>
      </c>
      <c r="O72" s="384" t="s">
        <v>1574</v>
      </c>
      <c r="P72">
        <v>905.95</v>
      </c>
      <c r="Q72">
        <v>0.16</v>
      </c>
      <c r="R72" s="136">
        <f>P72*Q72</f>
        <v>144.952</v>
      </c>
      <c r="S72" s="1222">
        <f>R72*1.1</f>
        <v>159.44720000000001</v>
      </c>
      <c r="T72" s="1222"/>
    </row>
    <row r="74" spans="1:28">
      <c r="N74" s="1223" t="s">
        <v>1653</v>
      </c>
      <c r="O74" s="1208"/>
      <c r="P74" s="1208"/>
      <c r="Q74" s="1208"/>
      <c r="R74" s="1208"/>
      <c r="S74" s="1208"/>
      <c r="T74" s="1208"/>
    </row>
    <row r="75" spans="1:28">
      <c r="A75" s="396" t="s">
        <v>1675</v>
      </c>
      <c r="B75" s="396"/>
      <c r="C75" s="396"/>
      <c r="N75" t="s">
        <v>1565</v>
      </c>
      <c r="O75" t="s">
        <v>1566</v>
      </c>
      <c r="P75" s="399" t="s">
        <v>1567</v>
      </c>
      <c r="Q75" s="405" t="s">
        <v>1568</v>
      </c>
      <c r="R75" t="s">
        <v>1569</v>
      </c>
      <c r="S75" s="1221" t="s">
        <v>1570</v>
      </c>
      <c r="T75" s="1221"/>
    </row>
    <row r="76" spans="1:28">
      <c r="A76" s="384" t="s">
        <v>1567</v>
      </c>
      <c r="B76">
        <v>533.76</v>
      </c>
      <c r="C76" s="382" t="s">
        <v>1376</v>
      </c>
      <c r="N76" t="s">
        <v>1571</v>
      </c>
      <c r="O76" s="384" t="s">
        <v>1591</v>
      </c>
      <c r="P76">
        <v>1548</v>
      </c>
      <c r="Q76">
        <v>0.63</v>
      </c>
      <c r="R76" s="136">
        <f>P76*Q76</f>
        <v>975.24</v>
      </c>
      <c r="S76" s="1222">
        <f>R76*1.1</f>
        <v>1072.7640000000001</v>
      </c>
      <c r="T76" s="1222"/>
    </row>
    <row r="77" spans="1:28">
      <c r="A77" s="384" t="s">
        <v>1710</v>
      </c>
      <c r="B77">
        <v>0.2</v>
      </c>
      <c r="N77" t="s">
        <v>1571</v>
      </c>
      <c r="O77" s="384" t="s">
        <v>1591</v>
      </c>
      <c r="P77">
        <v>3096</v>
      </c>
      <c r="Q77">
        <v>0.63</v>
      </c>
      <c r="R77" s="136">
        <f>P77*Q77</f>
        <v>1950.48</v>
      </c>
      <c r="S77" s="1222">
        <f>R77*1.1</f>
        <v>2145.5280000000002</v>
      </c>
      <c r="T77" s="1222"/>
    </row>
    <row r="78" spans="1:28">
      <c r="A78" s="384" t="s">
        <v>1712</v>
      </c>
      <c r="B78">
        <v>0.55000000000000004</v>
      </c>
      <c r="C78" s="395">
        <f>((B77*B76)+(B78*B76*2))</f>
        <v>693.88800000000015</v>
      </c>
      <c r="N78" s="384" t="s">
        <v>1573</v>
      </c>
      <c r="O78" s="384" t="s">
        <v>1657</v>
      </c>
      <c r="R78" s="136"/>
      <c r="S78" s="1222">
        <v>2893.09</v>
      </c>
      <c r="T78" s="1222"/>
    </row>
    <row r="79" spans="1:28">
      <c r="V79" s="388"/>
      <c r="W79" s="388"/>
      <c r="X79" s="388"/>
      <c r="Y79" s="388"/>
      <c r="Z79" s="388"/>
      <c r="AA79" s="388"/>
      <c r="AB79" s="388"/>
    </row>
    <row r="80" spans="1:28">
      <c r="V80" s="388"/>
      <c r="W80" s="388"/>
      <c r="X80" s="388"/>
      <c r="Y80" s="388"/>
      <c r="Z80" s="388"/>
      <c r="AA80" s="388"/>
      <c r="AB80" s="388"/>
    </row>
    <row r="81" spans="1:28">
      <c r="K81" s="388"/>
      <c r="L81" s="388"/>
      <c r="N81" s="384" t="s">
        <v>1660</v>
      </c>
      <c r="V81" s="1247"/>
      <c r="W81" s="1248"/>
      <c r="X81" s="1248"/>
      <c r="Y81" s="1248"/>
      <c r="Z81" s="1248"/>
      <c r="AA81" s="1248"/>
      <c r="AB81" s="1248"/>
    </row>
    <row r="82" spans="1:28">
      <c r="K82" s="388"/>
      <c r="L82" s="388"/>
      <c r="N82" t="s">
        <v>1571</v>
      </c>
      <c r="O82" s="425">
        <f>S76+S77+S71+S64+S65+S57+S58+S51+S45+S40</f>
        <v>8079.3622800000003</v>
      </c>
      <c r="P82" s="388"/>
      <c r="T82" s="427"/>
      <c r="U82" s="384"/>
      <c r="V82" s="388"/>
      <c r="W82" s="388"/>
      <c r="X82" s="428"/>
      <c r="Y82" s="429"/>
      <c r="Z82" s="388"/>
      <c r="AA82" s="1248"/>
      <c r="AB82" s="1248"/>
    </row>
    <row r="83" spans="1:28">
      <c r="A83" s="1230" t="s">
        <v>1713</v>
      </c>
      <c r="B83" s="1230"/>
      <c r="C83" s="1230"/>
      <c r="D83" s="1230"/>
      <c r="F83" s="385" t="s">
        <v>1714</v>
      </c>
      <c r="G83" s="386"/>
      <c r="H83" s="386"/>
      <c r="I83" s="386"/>
      <c r="J83" s="386"/>
      <c r="K83" s="386"/>
      <c r="L83" s="408"/>
      <c r="N83" t="s">
        <v>1573</v>
      </c>
      <c r="O83" s="425">
        <f>SUM(S78,S72,S67,S66,S60,S59,S53,S52,S47,S46,S41)</f>
        <v>4595.8706400000001</v>
      </c>
      <c r="P83" s="388"/>
      <c r="V83" s="388"/>
      <c r="W83" s="404"/>
      <c r="X83" s="388"/>
      <c r="Y83" s="388"/>
      <c r="Z83" s="407"/>
      <c r="AA83" s="1249"/>
      <c r="AB83" s="1249"/>
    </row>
    <row r="84" spans="1:28">
      <c r="A84" s="1207" t="s">
        <v>1626</v>
      </c>
      <c r="B84" s="1207"/>
      <c r="C84" s="384" t="s">
        <v>1715</v>
      </c>
      <c r="D84" s="384" t="s">
        <v>1628</v>
      </c>
      <c r="F84" s="409" t="s">
        <v>1716</v>
      </c>
      <c r="G84" s="396" t="s">
        <v>1630</v>
      </c>
      <c r="H84" s="384" t="s">
        <v>1631</v>
      </c>
      <c r="I84" s="382" t="s">
        <v>1632</v>
      </c>
      <c r="J84" s="384" t="s">
        <v>1633</v>
      </c>
      <c r="K84" s="388"/>
      <c r="L84" s="388"/>
      <c r="V84" s="404"/>
      <c r="W84" s="404"/>
      <c r="X84" s="388"/>
      <c r="Y84" s="388"/>
      <c r="Z84" s="407"/>
      <c r="AA84" s="1249"/>
      <c r="AB84" s="1249"/>
    </row>
    <row r="85" spans="1:28">
      <c r="A85" s="1207" t="s">
        <v>1635</v>
      </c>
      <c r="B85" s="1207"/>
      <c r="C85">
        <v>3</v>
      </c>
      <c r="D85">
        <v>58</v>
      </c>
      <c r="F85" s="409" t="s">
        <v>1636</v>
      </c>
      <c r="G85">
        <v>202.02</v>
      </c>
      <c r="H85">
        <v>0.15</v>
      </c>
      <c r="I85">
        <v>0.1</v>
      </c>
      <c r="J85" s="378">
        <f>G85*I85*H85</f>
        <v>3.0303</v>
      </c>
      <c r="N85" s="384" t="s">
        <v>1660</v>
      </c>
      <c r="V85" s="388"/>
      <c r="W85" s="388"/>
      <c r="X85" s="388"/>
      <c r="Y85" s="388"/>
      <c r="Z85" s="388"/>
      <c r="AA85" s="388"/>
      <c r="AB85" s="388"/>
    </row>
    <row r="86" spans="1:28">
      <c r="A86" s="1207" t="s">
        <v>1717</v>
      </c>
      <c r="B86" s="1207"/>
      <c r="C86">
        <v>8</v>
      </c>
      <c r="D86">
        <v>75</v>
      </c>
      <c r="F86" s="409" t="s">
        <v>1718</v>
      </c>
      <c r="G86">
        <v>533.76</v>
      </c>
      <c r="H86">
        <v>0.2</v>
      </c>
      <c r="I86">
        <v>0.1</v>
      </c>
      <c r="J86" s="378">
        <f>G86*I86*H86</f>
        <v>10.675200000000002</v>
      </c>
      <c r="N86" s="1250" t="s">
        <v>1600</v>
      </c>
      <c r="O86" s="1250"/>
      <c r="P86" s="407">
        <f>S76+S77+S71+S65+S58+S51+S45+S40</f>
        <v>6874.004280000001</v>
      </c>
    </row>
    <row r="87" spans="1:28">
      <c r="A87" s="1207" t="s">
        <v>1719</v>
      </c>
      <c r="B87" s="1207"/>
      <c r="D87" s="379">
        <f>(C85*D85)+(C86*D86)</f>
        <v>774</v>
      </c>
      <c r="F87" s="1207"/>
      <c r="G87" s="1207"/>
      <c r="H87" s="1207"/>
      <c r="I87" s="1207"/>
      <c r="N87" s="1250" t="s">
        <v>1667</v>
      </c>
      <c r="O87" s="1250"/>
      <c r="P87" s="407">
        <f>S64+S57</f>
        <v>1205.3580000000002</v>
      </c>
    </row>
    <row r="88" spans="1:28">
      <c r="F88" s="409" t="s">
        <v>1639</v>
      </c>
      <c r="G88" s="382" t="s">
        <v>1630</v>
      </c>
      <c r="H88" s="382" t="s">
        <v>1631</v>
      </c>
      <c r="I88" s="396" t="s">
        <v>1632</v>
      </c>
      <c r="J88" s="382" t="s">
        <v>17</v>
      </c>
      <c r="K88" s="382" t="s">
        <v>1623</v>
      </c>
      <c r="N88" s="1250" t="s">
        <v>1669</v>
      </c>
      <c r="O88" s="1250"/>
      <c r="P88" s="136">
        <f>S78</f>
        <v>2893.09</v>
      </c>
    </row>
    <row r="89" spans="1:28">
      <c r="F89" s="409" t="s">
        <v>1636</v>
      </c>
      <c r="G89">
        <v>0.6</v>
      </c>
      <c r="H89">
        <v>0.6</v>
      </c>
      <c r="I89">
        <v>0.1</v>
      </c>
      <c r="J89">
        <v>58</v>
      </c>
      <c r="K89">
        <f>PRODUCT(G89,H89,I89,J89)</f>
        <v>2.0879999999999996</v>
      </c>
    </row>
    <row r="90" spans="1:28">
      <c r="A90" s="410" t="s">
        <v>1720</v>
      </c>
      <c r="B90" s="411"/>
      <c r="C90" s="411"/>
      <c r="D90" s="410"/>
      <c r="F90" s="409" t="s">
        <v>1718</v>
      </c>
      <c r="G90">
        <v>0.6</v>
      </c>
      <c r="H90">
        <v>0.6</v>
      </c>
      <c r="I90">
        <v>0.1</v>
      </c>
      <c r="J90">
        <v>75</v>
      </c>
      <c r="K90">
        <f>PRODUCT(G90,H90,I90,J90)</f>
        <v>2.6999999999999997</v>
      </c>
    </row>
    <row r="91" spans="1:28">
      <c r="A91" s="409" t="s">
        <v>1641</v>
      </c>
      <c r="B91" s="382" t="s">
        <v>1642</v>
      </c>
      <c r="C91" s="382" t="s">
        <v>1643</v>
      </c>
      <c r="D91" s="382" t="s">
        <v>1644</v>
      </c>
      <c r="F91" s="384"/>
    </row>
    <row r="92" spans="1:28">
      <c r="A92" s="384" t="s">
        <v>1636</v>
      </c>
      <c r="B92" s="378">
        <v>202.02</v>
      </c>
      <c r="C92" s="378">
        <v>0.25</v>
      </c>
      <c r="D92">
        <f>B92*C92</f>
        <v>50.505000000000003</v>
      </c>
      <c r="F92" s="384" t="s">
        <v>1721</v>
      </c>
      <c r="G92" s="412">
        <f>J85+J86+K89+K90</f>
        <v>18.493500000000001</v>
      </c>
    </row>
    <row r="93" spans="1:28">
      <c r="A93" s="384" t="s">
        <v>1638</v>
      </c>
      <c r="B93" s="378">
        <v>533.76</v>
      </c>
      <c r="C93" s="378">
        <v>0.3</v>
      </c>
      <c r="D93">
        <f>B93*C93</f>
        <v>160.12799999999999</v>
      </c>
    </row>
    <row r="94" spans="1:28">
      <c r="A94" s="1221"/>
      <c r="B94" s="1221"/>
      <c r="C94" s="1221"/>
      <c r="D94" s="1221"/>
    </row>
    <row r="95" spans="1:28">
      <c r="A95" s="409" t="s">
        <v>1639</v>
      </c>
      <c r="B95" s="382" t="s">
        <v>1642</v>
      </c>
      <c r="C95" s="382" t="s">
        <v>1643</v>
      </c>
      <c r="D95" s="382" t="s">
        <v>17</v>
      </c>
      <c r="E95" s="382" t="s">
        <v>1644</v>
      </c>
      <c r="G95" s="1251" t="s">
        <v>1722</v>
      </c>
      <c r="H95" s="1251"/>
      <c r="I95" s="1251"/>
      <c r="J95" s="1251"/>
      <c r="K95" s="1251"/>
    </row>
    <row r="96" spans="1:28">
      <c r="A96" s="384" t="s">
        <v>1636</v>
      </c>
      <c r="B96" s="378">
        <v>0.7</v>
      </c>
      <c r="C96" s="378">
        <v>0.7</v>
      </c>
      <c r="D96" s="378">
        <v>58</v>
      </c>
      <c r="E96">
        <f>D96*C96*B96</f>
        <v>28.419999999999995</v>
      </c>
      <c r="G96" s="409" t="s">
        <v>1716</v>
      </c>
      <c r="H96" s="396" t="s">
        <v>1630</v>
      </c>
      <c r="I96" s="384" t="s">
        <v>1631</v>
      </c>
      <c r="J96" s="382" t="s">
        <v>1632</v>
      </c>
      <c r="K96" s="384" t="s">
        <v>1723</v>
      </c>
      <c r="L96" s="388"/>
    </row>
    <row r="97" spans="1:11">
      <c r="A97" s="384" t="s">
        <v>1638</v>
      </c>
      <c r="B97" s="378">
        <v>0.7</v>
      </c>
      <c r="C97" s="378">
        <v>0.7</v>
      </c>
      <c r="D97" s="378">
        <v>75</v>
      </c>
      <c r="E97">
        <f>D97*C97*B97</f>
        <v>36.75</v>
      </c>
      <c r="G97" s="409" t="s">
        <v>1718</v>
      </c>
      <c r="H97">
        <v>533.76</v>
      </c>
      <c r="I97">
        <v>0.2</v>
      </c>
      <c r="J97">
        <v>0.3</v>
      </c>
      <c r="K97" s="426">
        <f>(H97*J97*(2))+(H97*I97)</f>
        <v>427.00799999999998</v>
      </c>
    </row>
    <row r="99" spans="1:11">
      <c r="A99" t="s">
        <v>1646</v>
      </c>
      <c r="B99" s="412">
        <f>D92+D93+E96+E97</f>
        <v>275.803</v>
      </c>
    </row>
    <row r="103" spans="1:11">
      <c r="B103" s="1221" t="s">
        <v>1724</v>
      </c>
      <c r="C103" s="1221"/>
    </row>
    <row r="105" spans="1:11" ht="45">
      <c r="B105" s="413" t="s">
        <v>367</v>
      </c>
      <c r="C105" s="414" t="s">
        <v>60</v>
      </c>
      <c r="D105">
        <v>1</v>
      </c>
    </row>
    <row r="106" spans="1:11" ht="45">
      <c r="B106" s="413" t="s">
        <v>370</v>
      </c>
      <c r="C106" s="414" t="s">
        <v>60</v>
      </c>
      <c r="D106">
        <v>1</v>
      </c>
    </row>
    <row r="107" spans="1:11" ht="30">
      <c r="B107" s="413" t="s">
        <v>373</v>
      </c>
      <c r="C107" s="414" t="s">
        <v>60</v>
      </c>
      <c r="D107">
        <v>1</v>
      </c>
    </row>
    <row r="108" spans="1:11" ht="15.75">
      <c r="B108" s="415" t="s">
        <v>375</v>
      </c>
      <c r="C108" s="416"/>
    </row>
    <row r="109" spans="1:11" ht="45">
      <c r="B109" s="413" t="s">
        <v>378</v>
      </c>
      <c r="C109" s="414" t="s">
        <v>60</v>
      </c>
      <c r="D109">
        <v>1</v>
      </c>
    </row>
    <row r="110" spans="1:11" ht="15.75">
      <c r="B110" s="415" t="s">
        <v>380</v>
      </c>
      <c r="C110" s="416"/>
    </row>
    <row r="111" spans="1:11" ht="30">
      <c r="B111" s="413" t="s">
        <v>383</v>
      </c>
      <c r="C111" s="414" t="s">
        <v>60</v>
      </c>
      <c r="D111">
        <v>22</v>
      </c>
    </row>
    <row r="112" spans="1:11" ht="15.75">
      <c r="B112" s="417" t="s">
        <v>385</v>
      </c>
      <c r="C112" s="418"/>
    </row>
    <row r="113" spans="2:4">
      <c r="B113" s="419" t="s">
        <v>388</v>
      </c>
      <c r="C113" s="420" t="s">
        <v>38</v>
      </c>
      <c r="D113">
        <v>115</v>
      </c>
    </row>
    <row r="114" spans="2:4" ht="15.75">
      <c r="B114" s="417" t="s">
        <v>390</v>
      </c>
      <c r="C114" s="418"/>
    </row>
    <row r="115" spans="2:4" ht="45">
      <c r="B115" s="421" t="s">
        <v>393</v>
      </c>
      <c r="C115" s="414" t="s">
        <v>60</v>
      </c>
      <c r="D115">
        <v>12</v>
      </c>
    </row>
    <row r="116" spans="2:4" ht="45">
      <c r="B116" s="421" t="s">
        <v>396</v>
      </c>
      <c r="C116" s="414" t="s">
        <v>60</v>
      </c>
      <c r="D116">
        <v>2</v>
      </c>
    </row>
    <row r="117" spans="2:4" ht="45">
      <c r="B117" s="413" t="s">
        <v>399</v>
      </c>
      <c r="C117" s="414" t="s">
        <v>60</v>
      </c>
      <c r="D117">
        <v>2</v>
      </c>
    </row>
    <row r="118" spans="2:4" ht="15.75">
      <c r="B118" s="417" t="s">
        <v>401</v>
      </c>
      <c r="C118" s="422"/>
    </row>
    <row r="119" spans="2:4">
      <c r="B119" s="413" t="s">
        <v>404</v>
      </c>
      <c r="C119" s="414" t="s">
        <v>38</v>
      </c>
      <c r="D119">
        <v>80</v>
      </c>
    </row>
    <row r="120" spans="2:4">
      <c r="B120" s="423" t="s">
        <v>407</v>
      </c>
      <c r="C120" s="414" t="s">
        <v>38</v>
      </c>
      <c r="D120">
        <v>600</v>
      </c>
    </row>
    <row r="121" spans="2:4">
      <c r="B121" s="413" t="s">
        <v>410</v>
      </c>
      <c r="C121" s="414" t="s">
        <v>38</v>
      </c>
      <c r="D121">
        <v>40</v>
      </c>
    </row>
    <row r="122" spans="2:4">
      <c r="B122" s="423" t="s">
        <v>413</v>
      </c>
      <c r="C122" s="414" t="s">
        <v>38</v>
      </c>
      <c r="D122">
        <v>150</v>
      </c>
    </row>
    <row r="123" spans="2:4" ht="15.75">
      <c r="B123" s="415" t="s">
        <v>415</v>
      </c>
      <c r="C123" s="424"/>
    </row>
    <row r="124" spans="2:4" ht="30">
      <c r="B124" s="423" t="s">
        <v>418</v>
      </c>
      <c r="C124" s="414" t="s">
        <v>60</v>
      </c>
      <c r="D124">
        <v>20</v>
      </c>
    </row>
    <row r="125" spans="2:4" ht="30">
      <c r="B125" s="423" t="s">
        <v>421</v>
      </c>
      <c r="C125" s="414" t="s">
        <v>60</v>
      </c>
      <c r="D125">
        <v>15</v>
      </c>
    </row>
    <row r="126" spans="2:4" ht="30">
      <c r="B126" s="423" t="s">
        <v>424</v>
      </c>
      <c r="C126" s="414" t="s">
        <v>60</v>
      </c>
      <c r="D126">
        <v>25</v>
      </c>
    </row>
    <row r="127" spans="2:4" ht="30">
      <c r="B127" s="423" t="s">
        <v>427</v>
      </c>
      <c r="C127" s="414" t="s">
        <v>60</v>
      </c>
      <c r="D127">
        <v>90</v>
      </c>
    </row>
    <row r="128" spans="2:4" ht="30">
      <c r="B128" s="423" t="s">
        <v>430</v>
      </c>
      <c r="C128" s="414" t="s">
        <v>60</v>
      </c>
      <c r="D128">
        <v>30</v>
      </c>
    </row>
    <row r="129" spans="2:4">
      <c r="B129" s="430" t="s">
        <v>433</v>
      </c>
      <c r="C129" s="414" t="s">
        <v>60</v>
      </c>
      <c r="D129">
        <v>45</v>
      </c>
    </row>
    <row r="130" spans="2:4">
      <c r="B130" s="431" t="s">
        <v>436</v>
      </c>
      <c r="C130" s="414" t="s">
        <v>60</v>
      </c>
      <c r="D130">
        <v>30</v>
      </c>
    </row>
    <row r="131" spans="2:4" ht="30">
      <c r="B131" s="423" t="s">
        <v>439</v>
      </c>
      <c r="C131" s="414" t="s">
        <v>60</v>
      </c>
      <c r="D131">
        <v>20</v>
      </c>
    </row>
    <row r="132" spans="2:4">
      <c r="B132" s="432" t="s">
        <v>442</v>
      </c>
      <c r="C132" s="414" t="s">
        <v>60</v>
      </c>
      <c r="D132">
        <v>19</v>
      </c>
    </row>
    <row r="133" spans="2:4" ht="30">
      <c r="B133" s="431" t="s">
        <v>445</v>
      </c>
      <c r="C133" s="414" t="s">
        <v>60</v>
      </c>
      <c r="D133">
        <v>38</v>
      </c>
    </row>
    <row r="134" spans="2:4" ht="15.75">
      <c r="B134" s="433" t="s">
        <v>447</v>
      </c>
      <c r="C134" s="434"/>
    </row>
    <row r="135" spans="2:4">
      <c r="B135" s="1039" t="s">
        <v>450</v>
      </c>
      <c r="C135" s="414" t="s">
        <v>38</v>
      </c>
      <c r="D135">
        <v>70</v>
      </c>
    </row>
    <row r="136" spans="2:4">
      <c r="B136" s="1039" t="s">
        <v>452</v>
      </c>
      <c r="C136" s="414" t="s">
        <v>38</v>
      </c>
      <c r="D136">
        <v>280</v>
      </c>
    </row>
    <row r="137" spans="2:4" ht="30">
      <c r="B137" s="435" t="s">
        <v>455</v>
      </c>
      <c r="C137" s="414" t="s">
        <v>38</v>
      </c>
      <c r="D137">
        <v>190</v>
      </c>
    </row>
    <row r="138" spans="2:4" ht="30">
      <c r="B138" s="435" t="s">
        <v>458</v>
      </c>
      <c r="C138" s="414" t="s">
        <v>38</v>
      </c>
      <c r="D138">
        <v>100</v>
      </c>
    </row>
    <row r="139" spans="2:4" ht="30">
      <c r="B139" s="435" t="s">
        <v>461</v>
      </c>
      <c r="C139" s="414" t="s">
        <v>38</v>
      </c>
      <c r="D139">
        <v>21</v>
      </c>
    </row>
    <row r="140" spans="2:4" ht="15.75">
      <c r="B140" s="433" t="s">
        <v>463</v>
      </c>
      <c r="C140" s="434"/>
    </row>
    <row r="141" spans="2:4">
      <c r="B141" s="436" t="s">
        <v>466</v>
      </c>
      <c r="C141" s="414" t="s">
        <v>60</v>
      </c>
      <c r="D141">
        <v>9</v>
      </c>
    </row>
    <row r="142" spans="2:4">
      <c r="B142" s="436" t="s">
        <v>469</v>
      </c>
      <c r="C142" s="414" t="s">
        <v>60</v>
      </c>
      <c r="D142">
        <v>11</v>
      </c>
    </row>
    <row r="143" spans="2:4" ht="30">
      <c r="B143" s="437" t="s">
        <v>472</v>
      </c>
      <c r="C143" s="414" t="s">
        <v>60</v>
      </c>
      <c r="D143">
        <v>16</v>
      </c>
    </row>
    <row r="144" spans="2:4" ht="30">
      <c r="B144" s="437" t="s">
        <v>475</v>
      </c>
      <c r="C144" s="414" t="s">
        <v>60</v>
      </c>
      <c r="D144">
        <v>12</v>
      </c>
    </row>
    <row r="145" spans="2:4" ht="30">
      <c r="B145" s="438" t="s">
        <v>478</v>
      </c>
      <c r="C145" s="414" t="s">
        <v>60</v>
      </c>
      <c r="D145">
        <v>10</v>
      </c>
    </row>
    <row r="146" spans="2:4">
      <c r="B146" s="430" t="s">
        <v>481</v>
      </c>
      <c r="C146" s="414" t="s">
        <v>60</v>
      </c>
      <c r="D146">
        <v>13</v>
      </c>
    </row>
    <row r="147" spans="2:4" ht="30">
      <c r="B147" s="438" t="s">
        <v>484</v>
      </c>
      <c r="C147" s="414" t="s">
        <v>60</v>
      </c>
      <c r="D147">
        <v>9</v>
      </c>
    </row>
    <row r="148" spans="2:4" ht="30">
      <c r="B148" s="438" t="s">
        <v>487</v>
      </c>
      <c r="C148" s="414" t="s">
        <v>60</v>
      </c>
      <c r="D148">
        <v>6</v>
      </c>
    </row>
    <row r="149" spans="2:4">
      <c r="B149" s="430" t="s">
        <v>490</v>
      </c>
      <c r="C149" s="414" t="s">
        <v>60</v>
      </c>
      <c r="D149">
        <v>7</v>
      </c>
    </row>
    <row r="150" spans="2:4" ht="30">
      <c r="B150" s="438" t="s">
        <v>493</v>
      </c>
      <c r="C150" s="414" t="s">
        <v>60</v>
      </c>
      <c r="D150">
        <v>15</v>
      </c>
    </row>
    <row r="151" spans="2:4" ht="30">
      <c r="B151" s="438" t="s">
        <v>496</v>
      </c>
      <c r="C151" s="414" t="s">
        <v>60</v>
      </c>
      <c r="D151">
        <v>8</v>
      </c>
    </row>
    <row r="152" spans="2:4" ht="30">
      <c r="B152" s="423" t="s">
        <v>499</v>
      </c>
      <c r="C152" s="439" t="s">
        <v>60</v>
      </c>
      <c r="D152">
        <v>10</v>
      </c>
    </row>
    <row r="153" spans="2:4" ht="30">
      <c r="B153" s="438" t="s">
        <v>502</v>
      </c>
      <c r="C153" s="414" t="s">
        <v>60</v>
      </c>
      <c r="D153">
        <v>19</v>
      </c>
    </row>
    <row r="154" spans="2:4" ht="30">
      <c r="B154" s="438" t="s">
        <v>505</v>
      </c>
      <c r="C154" s="414" t="s">
        <v>60</v>
      </c>
      <c r="D154">
        <v>9</v>
      </c>
    </row>
    <row r="155" spans="2:4" ht="30">
      <c r="B155" s="438" t="s">
        <v>508</v>
      </c>
      <c r="C155" s="414" t="s">
        <v>60</v>
      </c>
      <c r="D155">
        <v>6</v>
      </c>
    </row>
    <row r="156" spans="2:4">
      <c r="B156" s="440" t="s">
        <v>511</v>
      </c>
      <c r="C156" s="420" t="s">
        <v>60</v>
      </c>
      <c r="D156">
        <v>12</v>
      </c>
    </row>
    <row r="157" spans="2:4">
      <c r="B157" s="431" t="s">
        <v>514</v>
      </c>
      <c r="C157" s="414" t="s">
        <v>60</v>
      </c>
      <c r="D157">
        <v>30</v>
      </c>
    </row>
    <row r="158" spans="2:4">
      <c r="B158" s="437" t="s">
        <v>517</v>
      </c>
      <c r="C158" s="414" t="s">
        <v>60</v>
      </c>
      <c r="D158">
        <v>10</v>
      </c>
    </row>
    <row r="159" spans="2:4" ht="15.75">
      <c r="B159" s="441" t="s">
        <v>519</v>
      </c>
      <c r="C159" s="418"/>
    </row>
    <row r="160" spans="2:4" ht="30">
      <c r="B160" s="440" t="s">
        <v>522</v>
      </c>
      <c r="C160" s="420" t="s">
        <v>60</v>
      </c>
      <c r="D160">
        <v>10</v>
      </c>
    </row>
    <row r="161" spans="2:4" ht="30">
      <c r="B161" s="442" t="s">
        <v>525</v>
      </c>
      <c r="C161" s="420" t="s">
        <v>60</v>
      </c>
      <c r="D161">
        <v>9</v>
      </c>
    </row>
    <row r="162" spans="2:4">
      <c r="B162" s="443" t="s">
        <v>528</v>
      </c>
      <c r="C162" s="444" t="s">
        <v>60</v>
      </c>
      <c r="D162">
        <v>20</v>
      </c>
    </row>
    <row r="163" spans="2:4">
      <c r="B163" s="443" t="s">
        <v>531</v>
      </c>
      <c r="C163" s="444" t="s">
        <v>60</v>
      </c>
      <c r="D163">
        <v>30</v>
      </c>
    </row>
    <row r="164" spans="2:4">
      <c r="B164" s="443" t="s">
        <v>534</v>
      </c>
      <c r="C164" s="444" t="s">
        <v>60</v>
      </c>
      <c r="D164">
        <v>6</v>
      </c>
    </row>
    <row r="165" spans="2:4" ht="30">
      <c r="B165" s="443" t="s">
        <v>537</v>
      </c>
      <c r="C165" s="444" t="s">
        <v>60</v>
      </c>
      <c r="D165">
        <v>3</v>
      </c>
    </row>
    <row r="166" spans="2:4" ht="15.75">
      <c r="B166" s="445" t="s">
        <v>539</v>
      </c>
      <c r="C166" s="446"/>
    </row>
    <row r="167" spans="2:4" ht="15.75">
      <c r="B167" s="441" t="s">
        <v>519</v>
      </c>
      <c r="C167" s="418"/>
    </row>
    <row r="168" spans="2:4" ht="45">
      <c r="B168" s="443" t="s">
        <v>543</v>
      </c>
      <c r="C168" s="444" t="s">
        <v>60</v>
      </c>
      <c r="D168">
        <v>12</v>
      </c>
    </row>
    <row r="169" spans="2:4">
      <c r="B169" s="443" t="s">
        <v>546</v>
      </c>
      <c r="C169" s="444" t="s">
        <v>38</v>
      </c>
      <c r="D169">
        <v>320.3</v>
      </c>
    </row>
    <row r="170" spans="2:4" ht="15.75">
      <c r="B170" s="447" t="s">
        <v>548</v>
      </c>
      <c r="C170" s="422"/>
    </row>
    <row r="171" spans="2:4" ht="30">
      <c r="B171" s="443" t="s">
        <v>551</v>
      </c>
      <c r="C171" s="444" t="s">
        <v>60</v>
      </c>
      <c r="D171">
        <v>4</v>
      </c>
    </row>
    <row r="172" spans="2:4" ht="30">
      <c r="B172" s="443" t="s">
        <v>554</v>
      </c>
      <c r="C172" s="444" t="s">
        <v>60</v>
      </c>
      <c r="D172">
        <v>15</v>
      </c>
    </row>
    <row r="173" spans="2:4" ht="30">
      <c r="B173" s="443" t="s">
        <v>557</v>
      </c>
      <c r="C173" s="444" t="s">
        <v>60</v>
      </c>
      <c r="D173">
        <v>24</v>
      </c>
    </row>
    <row r="174" spans="2:4" ht="30">
      <c r="B174" s="443" t="s">
        <v>560</v>
      </c>
      <c r="C174" s="444" t="s">
        <v>60</v>
      </c>
      <c r="D174">
        <v>2</v>
      </c>
    </row>
    <row r="175" spans="2:4" ht="30">
      <c r="B175" s="443" t="s">
        <v>563</v>
      </c>
      <c r="C175" s="444" t="s">
        <v>60</v>
      </c>
      <c r="D175">
        <v>5</v>
      </c>
    </row>
    <row r="176" spans="2:4" ht="30">
      <c r="B176" s="443" t="s">
        <v>566</v>
      </c>
      <c r="C176" s="444" t="s">
        <v>60</v>
      </c>
      <c r="D176">
        <v>1</v>
      </c>
    </row>
    <row r="177" spans="2:4" ht="30">
      <c r="B177" s="448" t="s">
        <v>569</v>
      </c>
      <c r="C177" s="449" t="s">
        <v>60</v>
      </c>
      <c r="D177">
        <v>3</v>
      </c>
    </row>
    <row r="178" spans="2:4" ht="30">
      <c r="B178" s="450" t="s">
        <v>572</v>
      </c>
      <c r="C178" s="444" t="s">
        <v>60</v>
      </c>
      <c r="D178">
        <v>3</v>
      </c>
    </row>
    <row r="179" spans="2:4" ht="30">
      <c r="B179" s="443" t="s">
        <v>575</v>
      </c>
      <c r="C179" s="444" t="s">
        <v>60</v>
      </c>
      <c r="D179">
        <v>4</v>
      </c>
    </row>
    <row r="180" spans="2:4" ht="30">
      <c r="B180" s="450" t="s">
        <v>578</v>
      </c>
      <c r="C180" s="444" t="s">
        <v>60</v>
      </c>
      <c r="D180">
        <v>1</v>
      </c>
    </row>
    <row r="181" spans="2:4">
      <c r="B181" s="443" t="s">
        <v>581</v>
      </c>
      <c r="C181" s="444" t="s">
        <v>60</v>
      </c>
      <c r="D181">
        <v>13</v>
      </c>
    </row>
    <row r="182" spans="2:4" ht="30">
      <c r="B182" s="443" t="s">
        <v>584</v>
      </c>
      <c r="C182" s="444" t="s">
        <v>60</v>
      </c>
      <c r="D182">
        <v>6</v>
      </c>
    </row>
    <row r="183" spans="2:4">
      <c r="B183" s="443" t="s">
        <v>587</v>
      </c>
      <c r="C183" s="444" t="s">
        <v>60</v>
      </c>
      <c r="D183">
        <v>8</v>
      </c>
    </row>
    <row r="184" spans="2:4" ht="30">
      <c r="B184" s="443" t="s">
        <v>590</v>
      </c>
      <c r="C184" s="444" t="s">
        <v>60</v>
      </c>
      <c r="D184">
        <v>25</v>
      </c>
    </row>
    <row r="185" spans="2:4">
      <c r="B185" s="443" t="s">
        <v>593</v>
      </c>
      <c r="C185" s="444" t="s">
        <v>60</v>
      </c>
      <c r="D185">
        <v>4</v>
      </c>
    </row>
    <row r="186" spans="2:4">
      <c r="B186" s="448" t="s">
        <v>596</v>
      </c>
      <c r="C186" s="449" t="s">
        <v>60</v>
      </c>
      <c r="D186">
        <v>2</v>
      </c>
    </row>
    <row r="187" spans="2:4">
      <c r="B187" s="448" t="s">
        <v>599</v>
      </c>
      <c r="C187" s="449" t="s">
        <v>60</v>
      </c>
      <c r="D187">
        <v>2</v>
      </c>
    </row>
    <row r="188" spans="2:4">
      <c r="B188" s="448" t="s">
        <v>602</v>
      </c>
      <c r="C188" s="449" t="s">
        <v>60</v>
      </c>
      <c r="D188">
        <v>4</v>
      </c>
    </row>
    <row r="189" spans="2:4" ht="30">
      <c r="B189" s="451" t="s">
        <v>605</v>
      </c>
      <c r="C189" s="449" t="s">
        <v>60</v>
      </c>
      <c r="D189">
        <v>4</v>
      </c>
    </row>
    <row r="190" spans="2:4" ht="30">
      <c r="B190" s="443" t="s">
        <v>608</v>
      </c>
      <c r="C190" s="444" t="s">
        <v>60</v>
      </c>
      <c r="D190">
        <v>15</v>
      </c>
    </row>
    <row r="191" spans="2:4" ht="45">
      <c r="B191" s="443" t="s">
        <v>611</v>
      </c>
      <c r="C191" s="444" t="s">
        <v>60</v>
      </c>
      <c r="D191">
        <v>3</v>
      </c>
    </row>
    <row r="192" spans="2:4" ht="15.75">
      <c r="B192" s="447" t="s">
        <v>613</v>
      </c>
      <c r="C192" s="422"/>
    </row>
    <row r="193" spans="2:4">
      <c r="B193" s="448" t="s">
        <v>616</v>
      </c>
      <c r="C193" s="449" t="s">
        <v>27</v>
      </c>
      <c r="D193" s="388">
        <v>47.62</v>
      </c>
    </row>
    <row r="194" spans="2:4">
      <c r="B194" s="448" t="s">
        <v>619</v>
      </c>
      <c r="C194" s="449" t="s">
        <v>38</v>
      </c>
      <c r="D194">
        <v>6</v>
      </c>
    </row>
    <row r="195" spans="2:4" ht="15.75">
      <c r="B195" s="447" t="s">
        <v>620</v>
      </c>
      <c r="C195" s="422"/>
    </row>
    <row r="196" spans="2:4" ht="45">
      <c r="B196" s="419" t="s">
        <v>623</v>
      </c>
      <c r="C196" s="420" t="s">
        <v>60</v>
      </c>
      <c r="D196">
        <v>3</v>
      </c>
    </row>
    <row r="197" spans="2:4">
      <c r="B197" s="413" t="s">
        <v>626</v>
      </c>
      <c r="C197" s="414" t="s">
        <v>38</v>
      </c>
      <c r="D197">
        <v>52</v>
      </c>
    </row>
    <row r="198" spans="2:4">
      <c r="B198" s="413" t="s">
        <v>629</v>
      </c>
      <c r="C198" s="414" t="s">
        <v>60</v>
      </c>
      <c r="D198">
        <v>1</v>
      </c>
    </row>
    <row r="199" spans="2:4" ht="30">
      <c r="B199" s="421" t="s">
        <v>632</v>
      </c>
      <c r="C199" s="414" t="s">
        <v>60</v>
      </c>
      <c r="D199">
        <v>4</v>
      </c>
    </row>
    <row r="200" spans="2:4" ht="30">
      <c r="B200" s="452" t="s">
        <v>635</v>
      </c>
      <c r="C200" s="414" t="s">
        <v>60</v>
      </c>
      <c r="D200">
        <v>1</v>
      </c>
    </row>
    <row r="201" spans="2:4" ht="30">
      <c r="B201" s="421" t="s">
        <v>638</v>
      </c>
      <c r="C201" s="414" t="s">
        <v>60</v>
      </c>
      <c r="D201">
        <v>10</v>
      </c>
    </row>
    <row r="202" spans="2:4" ht="30">
      <c r="B202" s="421" t="s">
        <v>641</v>
      </c>
      <c r="C202" s="414" t="s">
        <v>60</v>
      </c>
      <c r="D202">
        <v>10</v>
      </c>
    </row>
    <row r="203" spans="2:4">
      <c r="B203" s="453" t="s">
        <v>644</v>
      </c>
      <c r="C203" s="414" t="s">
        <v>60</v>
      </c>
      <c r="D203">
        <v>1</v>
      </c>
    </row>
    <row r="204" spans="2:4" ht="30">
      <c r="B204" s="452" t="s">
        <v>647</v>
      </c>
      <c r="C204" s="414" t="s">
        <v>60</v>
      </c>
      <c r="D204">
        <v>8</v>
      </c>
    </row>
    <row r="205" spans="2:4">
      <c r="B205" s="454" t="s">
        <v>650</v>
      </c>
      <c r="C205" s="420" t="s">
        <v>60</v>
      </c>
      <c r="D205">
        <v>29</v>
      </c>
    </row>
    <row r="206" spans="2:4">
      <c r="B206" s="455" t="s">
        <v>653</v>
      </c>
      <c r="C206" s="414" t="s">
        <v>60</v>
      </c>
      <c r="D206">
        <v>5</v>
      </c>
    </row>
    <row r="207" spans="2:4" ht="45">
      <c r="B207" s="421" t="s">
        <v>623</v>
      </c>
      <c r="C207" s="414" t="s">
        <v>60</v>
      </c>
      <c r="D207">
        <v>5</v>
      </c>
    </row>
    <row r="208" spans="2:4" ht="30">
      <c r="B208" s="421" t="s">
        <v>657</v>
      </c>
      <c r="C208" s="414" t="s">
        <v>60</v>
      </c>
      <c r="D208">
        <v>1</v>
      </c>
    </row>
    <row r="209" spans="2:4">
      <c r="B209" s="456" t="s">
        <v>660</v>
      </c>
      <c r="C209" s="414" t="s">
        <v>60</v>
      </c>
      <c r="D209">
        <v>1</v>
      </c>
    </row>
    <row r="210" spans="2:4">
      <c r="B210" s="438" t="s">
        <v>663</v>
      </c>
      <c r="C210" s="414" t="s">
        <v>60</v>
      </c>
      <c r="D210">
        <v>2</v>
      </c>
    </row>
    <row r="211" spans="2:4" ht="30">
      <c r="B211" s="455" t="s">
        <v>666</v>
      </c>
      <c r="C211" s="414" t="s">
        <v>38</v>
      </c>
      <c r="D211">
        <v>2.76</v>
      </c>
    </row>
    <row r="212" spans="2:4" ht="30">
      <c r="B212" s="438" t="s">
        <v>669</v>
      </c>
      <c r="C212" s="414" t="s">
        <v>38</v>
      </c>
      <c r="D212">
        <v>129.5</v>
      </c>
    </row>
    <row r="213" spans="2:4">
      <c r="B213" s="421" t="s">
        <v>672</v>
      </c>
      <c r="C213" s="414" t="s">
        <v>60</v>
      </c>
      <c r="D213">
        <v>2</v>
      </c>
    </row>
    <row r="214" spans="2:4">
      <c r="B214" s="452" t="s">
        <v>675</v>
      </c>
      <c r="C214" s="420" t="s">
        <v>60</v>
      </c>
      <c r="D214">
        <v>1</v>
      </c>
    </row>
    <row r="215" spans="2:4">
      <c r="B215" s="452" t="s">
        <v>678</v>
      </c>
      <c r="C215" s="420" t="s">
        <v>60</v>
      </c>
      <c r="D215">
        <v>2</v>
      </c>
    </row>
    <row r="216" spans="2:4">
      <c r="B216" s="438" t="s">
        <v>681</v>
      </c>
      <c r="C216" s="414" t="s">
        <v>60</v>
      </c>
      <c r="D216">
        <v>1</v>
      </c>
    </row>
    <row r="217" spans="2:4">
      <c r="B217" s="456" t="s">
        <v>684</v>
      </c>
      <c r="C217" s="414" t="s">
        <v>60</v>
      </c>
      <c r="D217">
        <v>1</v>
      </c>
    </row>
    <row r="218" spans="2:4">
      <c r="B218" s="456" t="s">
        <v>687</v>
      </c>
      <c r="C218" s="414" t="s">
        <v>60</v>
      </c>
      <c r="D218">
        <v>6</v>
      </c>
    </row>
    <row r="219" spans="2:4" ht="30">
      <c r="B219" s="438" t="s">
        <v>690</v>
      </c>
      <c r="C219" s="414" t="s">
        <v>691</v>
      </c>
      <c r="D219">
        <v>13</v>
      </c>
    </row>
    <row r="220" spans="2:4" ht="30">
      <c r="B220" s="438" t="s">
        <v>694</v>
      </c>
      <c r="C220" s="414" t="s">
        <v>60</v>
      </c>
      <c r="D220">
        <v>1</v>
      </c>
    </row>
    <row r="221" spans="2:4">
      <c r="B221" s="438" t="s">
        <v>697</v>
      </c>
      <c r="C221" s="414" t="s">
        <v>60</v>
      </c>
      <c r="D221">
        <v>1</v>
      </c>
    </row>
    <row r="222" spans="2:4">
      <c r="B222" s="457" t="s">
        <v>700</v>
      </c>
      <c r="C222" s="414" t="s">
        <v>60</v>
      </c>
      <c r="D222">
        <v>1</v>
      </c>
    </row>
    <row r="223" spans="2:4">
      <c r="B223" s="455" t="s">
        <v>703</v>
      </c>
      <c r="C223" s="458" t="s">
        <v>60</v>
      </c>
      <c r="D223">
        <v>5</v>
      </c>
    </row>
    <row r="224" spans="2:4" ht="15.75">
      <c r="B224" s="447" t="s">
        <v>704</v>
      </c>
      <c r="C224" s="422"/>
    </row>
    <row r="225" spans="2:4" ht="15.75">
      <c r="B225" s="459" t="s">
        <v>706</v>
      </c>
      <c r="C225" s="460"/>
    </row>
    <row r="226" spans="2:4">
      <c r="B226" s="413" t="s">
        <v>709</v>
      </c>
      <c r="C226" s="414" t="s">
        <v>60</v>
      </c>
      <c r="D226">
        <v>3</v>
      </c>
    </row>
    <row r="227" spans="2:4" ht="15.75">
      <c r="B227" s="459" t="s">
        <v>711</v>
      </c>
      <c r="C227" s="461"/>
    </row>
    <row r="228" spans="2:4">
      <c r="B228" s="413" t="s">
        <v>714</v>
      </c>
      <c r="C228" s="414" t="s">
        <v>60</v>
      </c>
      <c r="D228">
        <v>10</v>
      </c>
    </row>
    <row r="229" spans="2:4">
      <c r="B229" s="413" t="s">
        <v>717</v>
      </c>
      <c r="C229" s="414" t="s">
        <v>60</v>
      </c>
      <c r="D229">
        <v>10</v>
      </c>
    </row>
    <row r="230" spans="2:4">
      <c r="B230" s="448" t="s">
        <v>720</v>
      </c>
      <c r="C230" s="449" t="s">
        <v>60</v>
      </c>
      <c r="D230">
        <v>70</v>
      </c>
    </row>
    <row r="231" spans="2:4">
      <c r="B231" s="448" t="s">
        <v>723</v>
      </c>
      <c r="C231" s="449" t="s">
        <v>60</v>
      </c>
      <c r="D231">
        <v>4</v>
      </c>
    </row>
    <row r="232" spans="2:4">
      <c r="B232" s="440" t="s">
        <v>726</v>
      </c>
      <c r="C232" s="420" t="s">
        <v>60</v>
      </c>
      <c r="D232">
        <v>5</v>
      </c>
    </row>
    <row r="233" spans="2:4" ht="15.75">
      <c r="B233" s="459" t="s">
        <v>728</v>
      </c>
      <c r="C233" s="461"/>
    </row>
    <row r="234" spans="2:4">
      <c r="B234" s="413" t="s">
        <v>731</v>
      </c>
      <c r="C234" s="414" t="s">
        <v>38</v>
      </c>
      <c r="D234">
        <v>90</v>
      </c>
    </row>
    <row r="235" spans="2:4">
      <c r="B235" s="435" t="s">
        <v>734</v>
      </c>
      <c r="C235" s="414" t="s">
        <v>38</v>
      </c>
      <c r="D235">
        <v>120</v>
      </c>
    </row>
    <row r="236" spans="2:4">
      <c r="B236" s="450" t="s">
        <v>737</v>
      </c>
      <c r="C236" s="414" t="s">
        <v>38</v>
      </c>
      <c r="D236">
        <v>660</v>
      </c>
    </row>
    <row r="237" spans="2:4">
      <c r="B237" s="450" t="s">
        <v>740</v>
      </c>
      <c r="C237" s="414" t="s">
        <v>38</v>
      </c>
      <c r="D237">
        <v>75</v>
      </c>
    </row>
    <row r="238" spans="2:4">
      <c r="B238" s="450" t="s">
        <v>743</v>
      </c>
      <c r="C238" s="414" t="s">
        <v>38</v>
      </c>
      <c r="D238">
        <v>150</v>
      </c>
    </row>
    <row r="239" spans="2:4" ht="15.75">
      <c r="B239" s="459" t="s">
        <v>745</v>
      </c>
      <c r="C239" s="461"/>
    </row>
    <row r="240" spans="2:4">
      <c r="B240" s="413" t="s">
        <v>748</v>
      </c>
      <c r="C240" s="414" t="s">
        <v>38</v>
      </c>
      <c r="D240">
        <v>342</v>
      </c>
    </row>
    <row r="241" spans="2:4">
      <c r="B241" s="413" t="s">
        <v>751</v>
      </c>
      <c r="C241" s="414" t="s">
        <v>38</v>
      </c>
      <c r="D241">
        <v>99</v>
      </c>
    </row>
    <row r="242" spans="2:4" ht="30">
      <c r="B242" s="462" t="s">
        <v>754</v>
      </c>
      <c r="C242" s="414" t="s">
        <v>38</v>
      </c>
      <c r="D242">
        <v>100</v>
      </c>
    </row>
    <row r="243" spans="2:4" ht="30">
      <c r="B243" s="423" t="s">
        <v>756</v>
      </c>
      <c r="C243" s="414" t="s">
        <v>38</v>
      </c>
      <c r="D243">
        <v>100</v>
      </c>
    </row>
    <row r="244" spans="2:4" ht="30">
      <c r="B244" s="462" t="s">
        <v>759</v>
      </c>
      <c r="C244" s="414" t="s">
        <v>38</v>
      </c>
      <c r="D244">
        <v>1000</v>
      </c>
    </row>
    <row r="245" spans="2:4" ht="30">
      <c r="B245" s="423" t="s">
        <v>761</v>
      </c>
      <c r="C245" s="414" t="s">
        <v>38</v>
      </c>
      <c r="D245">
        <v>1000</v>
      </c>
    </row>
    <row r="246" spans="2:4" ht="30">
      <c r="B246" s="423" t="s">
        <v>763</v>
      </c>
      <c r="C246" s="414" t="s">
        <v>38</v>
      </c>
      <c r="D246">
        <v>1000</v>
      </c>
    </row>
    <row r="247" spans="2:4" ht="30">
      <c r="B247" s="423" t="s">
        <v>766</v>
      </c>
      <c r="C247" s="414" t="s">
        <v>38</v>
      </c>
      <c r="D247">
        <v>150</v>
      </c>
    </row>
    <row r="248" spans="2:4" ht="30">
      <c r="B248" s="423" t="s">
        <v>768</v>
      </c>
      <c r="C248" s="414" t="s">
        <v>38</v>
      </c>
      <c r="D248">
        <v>150</v>
      </c>
    </row>
    <row r="249" spans="2:4" ht="30">
      <c r="B249" s="423" t="s">
        <v>771</v>
      </c>
      <c r="C249" s="414" t="s">
        <v>38</v>
      </c>
      <c r="D249">
        <v>30</v>
      </c>
    </row>
    <row r="250" spans="2:4" ht="30">
      <c r="B250" s="423" t="s">
        <v>773</v>
      </c>
      <c r="C250" s="414" t="s">
        <v>38</v>
      </c>
      <c r="D250">
        <v>30</v>
      </c>
    </row>
    <row r="251" spans="2:4" ht="30">
      <c r="B251" s="423" t="s">
        <v>776</v>
      </c>
      <c r="C251" s="414" t="s">
        <v>38</v>
      </c>
      <c r="D251">
        <v>150</v>
      </c>
    </row>
    <row r="252" spans="2:4" ht="30">
      <c r="B252" s="423" t="s">
        <v>778</v>
      </c>
      <c r="C252" s="414" t="s">
        <v>38</v>
      </c>
      <c r="D252">
        <v>150</v>
      </c>
    </row>
    <row r="253" spans="2:4" ht="30">
      <c r="B253" s="423" t="s">
        <v>780</v>
      </c>
      <c r="C253" s="414" t="s">
        <v>38</v>
      </c>
      <c r="D253">
        <v>1500</v>
      </c>
    </row>
    <row r="254" spans="2:4" ht="30">
      <c r="B254" s="423" t="s">
        <v>783</v>
      </c>
      <c r="C254" s="414" t="s">
        <v>38</v>
      </c>
      <c r="D254">
        <v>380</v>
      </c>
    </row>
    <row r="255" spans="2:4" ht="30">
      <c r="B255" s="423" t="s">
        <v>786</v>
      </c>
      <c r="C255" s="414" t="s">
        <v>38</v>
      </c>
      <c r="D255">
        <v>130</v>
      </c>
    </row>
    <row r="256" spans="2:4" ht="15.75">
      <c r="B256" s="459" t="s">
        <v>788</v>
      </c>
      <c r="C256" s="463"/>
    </row>
    <row r="257" spans="2:4" ht="30">
      <c r="B257" s="413" t="s">
        <v>791</v>
      </c>
      <c r="C257" s="414" t="s">
        <v>60</v>
      </c>
      <c r="D257">
        <v>1</v>
      </c>
    </row>
    <row r="258" spans="2:4" ht="15.75">
      <c r="B258" s="459" t="s">
        <v>793</v>
      </c>
      <c r="C258" s="463"/>
    </row>
    <row r="259" spans="2:4" ht="30">
      <c r="B259" s="419" t="s">
        <v>796</v>
      </c>
      <c r="C259" s="414" t="s">
        <v>691</v>
      </c>
      <c r="D259">
        <v>9</v>
      </c>
    </row>
    <row r="260" spans="2:4" ht="15.75">
      <c r="B260" s="464" t="s">
        <v>798</v>
      </c>
      <c r="C260" s="460"/>
    </row>
    <row r="261" spans="2:4">
      <c r="B261" s="442" t="s">
        <v>801</v>
      </c>
      <c r="C261" s="420" t="s">
        <v>60</v>
      </c>
      <c r="D261">
        <v>63</v>
      </c>
    </row>
    <row r="262" spans="2:4">
      <c r="B262" s="442" t="s">
        <v>804</v>
      </c>
      <c r="C262" s="420" t="s">
        <v>60</v>
      </c>
      <c r="D262">
        <v>32</v>
      </c>
    </row>
    <row r="263" spans="2:4">
      <c r="B263" s="455" t="s">
        <v>807</v>
      </c>
      <c r="C263" s="420" t="s">
        <v>60</v>
      </c>
      <c r="D263">
        <v>22</v>
      </c>
    </row>
    <row r="264" spans="2:4">
      <c r="B264" s="456" t="s">
        <v>810</v>
      </c>
      <c r="C264" s="420" t="s">
        <v>60</v>
      </c>
      <c r="D264">
        <v>130</v>
      </c>
    </row>
    <row r="265" spans="2:4" ht="30">
      <c r="B265" s="438" t="s">
        <v>813</v>
      </c>
      <c r="C265" s="420" t="s">
        <v>60</v>
      </c>
      <c r="D265">
        <v>10</v>
      </c>
    </row>
    <row r="266" spans="2:4">
      <c r="B266" s="438" t="s">
        <v>650</v>
      </c>
      <c r="C266" s="420" t="s">
        <v>60</v>
      </c>
      <c r="D266">
        <v>7</v>
      </c>
    </row>
    <row r="267" spans="2:4" ht="15.75">
      <c r="B267" s="465" t="s">
        <v>816</v>
      </c>
      <c r="C267" s="460"/>
    </row>
    <row r="268" spans="2:4">
      <c r="B268" s="413" t="s">
        <v>819</v>
      </c>
      <c r="C268" s="414" t="s">
        <v>60</v>
      </c>
      <c r="D268">
        <v>194</v>
      </c>
    </row>
    <row r="269" spans="2:4">
      <c r="B269" s="437" t="s">
        <v>822</v>
      </c>
      <c r="C269" s="414" t="s">
        <v>60</v>
      </c>
      <c r="D269">
        <v>35</v>
      </c>
    </row>
    <row r="270" spans="2:4">
      <c r="B270" s="437" t="s">
        <v>825</v>
      </c>
      <c r="C270" s="414" t="s">
        <v>60</v>
      </c>
      <c r="D270">
        <v>12</v>
      </c>
    </row>
    <row r="271" spans="2:4">
      <c r="B271" s="437" t="s">
        <v>828</v>
      </c>
      <c r="C271" s="414" t="s">
        <v>60</v>
      </c>
      <c r="D271">
        <v>12</v>
      </c>
    </row>
    <row r="272" spans="2:4" ht="30">
      <c r="B272" s="438" t="s">
        <v>831</v>
      </c>
      <c r="C272" s="414" t="s">
        <v>60</v>
      </c>
      <c r="D272">
        <v>3</v>
      </c>
    </row>
    <row r="273" spans="2:4" ht="30">
      <c r="B273" s="438" t="s">
        <v>834</v>
      </c>
      <c r="C273" s="414" t="s">
        <v>60</v>
      </c>
      <c r="D273">
        <v>58</v>
      </c>
    </row>
    <row r="274" spans="2:4" ht="30">
      <c r="B274" s="438" t="s">
        <v>837</v>
      </c>
      <c r="C274" s="414" t="s">
        <v>60</v>
      </c>
      <c r="D274">
        <v>16</v>
      </c>
    </row>
    <row r="275" spans="2:4">
      <c r="B275" s="437" t="s">
        <v>840</v>
      </c>
      <c r="C275" s="414" t="s">
        <v>60</v>
      </c>
      <c r="D275">
        <v>9</v>
      </c>
    </row>
    <row r="276" spans="2:4">
      <c r="B276" s="437" t="s">
        <v>822</v>
      </c>
      <c r="C276" s="414" t="s">
        <v>60</v>
      </c>
      <c r="D276">
        <v>42</v>
      </c>
    </row>
    <row r="277" spans="2:4">
      <c r="B277" s="437" t="s">
        <v>825</v>
      </c>
      <c r="C277" s="414" t="s">
        <v>60</v>
      </c>
      <c r="D277">
        <v>2</v>
      </c>
    </row>
    <row r="278" spans="2:4">
      <c r="B278" s="437" t="s">
        <v>846</v>
      </c>
      <c r="C278" s="414" t="s">
        <v>60</v>
      </c>
      <c r="D278">
        <v>1</v>
      </c>
    </row>
    <row r="279" spans="2:4">
      <c r="B279" s="437" t="s">
        <v>848</v>
      </c>
      <c r="C279" s="414" t="s">
        <v>60</v>
      </c>
      <c r="D279">
        <v>10</v>
      </c>
    </row>
    <row r="280" spans="2:4">
      <c r="B280" s="413" t="s">
        <v>851</v>
      </c>
      <c r="C280" s="414" t="s">
        <v>60</v>
      </c>
      <c r="D280">
        <v>9</v>
      </c>
    </row>
    <row r="281" spans="2:4" ht="15.75">
      <c r="B281" s="459" t="s">
        <v>853</v>
      </c>
      <c r="C281" s="460"/>
    </row>
    <row r="282" spans="2:4" ht="45">
      <c r="B282" s="450" t="s">
        <v>856</v>
      </c>
      <c r="C282" s="444" t="s">
        <v>60</v>
      </c>
      <c r="D282">
        <v>6</v>
      </c>
    </row>
    <row r="283" spans="2:4">
      <c r="B283" s="450" t="s">
        <v>859</v>
      </c>
      <c r="C283" s="444" t="s">
        <v>60</v>
      </c>
      <c r="D283">
        <v>80</v>
      </c>
    </row>
    <row r="284" spans="2:4">
      <c r="B284" s="451" t="s">
        <v>862</v>
      </c>
      <c r="C284" s="449" t="s">
        <v>60</v>
      </c>
      <c r="D284">
        <v>15</v>
      </c>
    </row>
    <row r="285" spans="2:4" ht="30">
      <c r="B285" s="437" t="s">
        <v>865</v>
      </c>
      <c r="C285" s="449" t="s">
        <v>60</v>
      </c>
      <c r="D285">
        <v>1</v>
      </c>
    </row>
    <row r="286" spans="2:4" ht="30">
      <c r="B286" s="423" t="s">
        <v>868</v>
      </c>
      <c r="C286" s="449" t="s">
        <v>60</v>
      </c>
      <c r="D286">
        <v>1</v>
      </c>
    </row>
    <row r="287" spans="2:4" ht="30">
      <c r="B287" s="438" t="s">
        <v>871</v>
      </c>
      <c r="C287" s="449" t="s">
        <v>60</v>
      </c>
      <c r="D287">
        <v>1</v>
      </c>
    </row>
    <row r="288" spans="2:4" ht="30">
      <c r="B288" s="438" t="s">
        <v>874</v>
      </c>
      <c r="C288" s="449" t="s">
        <v>60</v>
      </c>
      <c r="D288">
        <v>10</v>
      </c>
    </row>
    <row r="289" spans="2:4">
      <c r="B289" s="466" t="s">
        <v>877</v>
      </c>
      <c r="C289" s="449" t="s">
        <v>60</v>
      </c>
      <c r="D289">
        <v>2</v>
      </c>
    </row>
    <row r="290" spans="2:4">
      <c r="B290" s="455" t="s">
        <v>880</v>
      </c>
      <c r="C290" s="449" t="s">
        <v>60</v>
      </c>
      <c r="D290">
        <v>7</v>
      </c>
    </row>
    <row r="291" spans="2:4">
      <c r="B291" s="438" t="s">
        <v>883</v>
      </c>
      <c r="C291" s="449" t="s">
        <v>60</v>
      </c>
      <c r="D291">
        <v>5</v>
      </c>
    </row>
    <row r="292" spans="2:4">
      <c r="B292" s="438" t="s">
        <v>886</v>
      </c>
      <c r="C292" s="449" t="s">
        <v>60</v>
      </c>
      <c r="D292">
        <v>7</v>
      </c>
    </row>
    <row r="293" spans="2:4">
      <c r="B293" s="455" t="s">
        <v>889</v>
      </c>
      <c r="C293" s="449" t="s">
        <v>60</v>
      </c>
      <c r="D293">
        <v>2</v>
      </c>
    </row>
    <row r="294" spans="2:4">
      <c r="B294" s="455" t="s">
        <v>892</v>
      </c>
      <c r="C294" s="449" t="s">
        <v>60</v>
      </c>
      <c r="D294">
        <v>1</v>
      </c>
    </row>
    <row r="295" spans="2:4" ht="15.75">
      <c r="B295" s="467" t="s">
        <v>1725</v>
      </c>
      <c r="C295" s="460"/>
    </row>
    <row r="296" spans="2:4">
      <c r="B296" s="455" t="s">
        <v>1726</v>
      </c>
      <c r="C296" s="414" t="s">
        <v>60</v>
      </c>
      <c r="D296">
        <v>70</v>
      </c>
    </row>
    <row r="297" spans="2:4">
      <c r="B297" s="456" t="s">
        <v>1727</v>
      </c>
      <c r="C297" s="414" t="s">
        <v>60</v>
      </c>
      <c r="D297">
        <v>25</v>
      </c>
    </row>
    <row r="298" spans="2:4">
      <c r="B298" s="468" t="s">
        <v>1728</v>
      </c>
      <c r="C298" s="414" t="s">
        <v>60</v>
      </c>
      <c r="D298">
        <v>5</v>
      </c>
    </row>
    <row r="299" spans="2:4">
      <c r="B299" s="455" t="s">
        <v>1729</v>
      </c>
      <c r="C299" s="414" t="s">
        <v>60</v>
      </c>
      <c r="D299">
        <v>10</v>
      </c>
    </row>
    <row r="300" spans="2:4">
      <c r="B300" s="456" t="s">
        <v>1730</v>
      </c>
      <c r="C300" s="414" t="s">
        <v>60</v>
      </c>
      <c r="D300">
        <v>5</v>
      </c>
    </row>
    <row r="301" spans="2:4">
      <c r="B301" s="462" t="s">
        <v>1731</v>
      </c>
      <c r="C301" s="414" t="s">
        <v>60</v>
      </c>
      <c r="D301">
        <v>70</v>
      </c>
    </row>
    <row r="302" spans="2:4">
      <c r="B302" s="456" t="s">
        <v>1732</v>
      </c>
      <c r="C302" s="414" t="s">
        <v>60</v>
      </c>
      <c r="D302">
        <v>280</v>
      </c>
    </row>
    <row r="303" spans="2:4">
      <c r="B303" s="455" t="s">
        <v>1733</v>
      </c>
      <c r="C303" s="414" t="s">
        <v>60</v>
      </c>
      <c r="D303">
        <v>750</v>
      </c>
    </row>
    <row r="304" spans="2:4">
      <c r="B304" s="456" t="s">
        <v>1734</v>
      </c>
      <c r="C304" s="414" t="s">
        <v>38</v>
      </c>
      <c r="D304">
        <v>40</v>
      </c>
    </row>
    <row r="305" spans="2:4" ht="30">
      <c r="B305" s="466" t="s">
        <v>1735</v>
      </c>
      <c r="C305" s="414" t="s">
        <v>60</v>
      </c>
      <c r="D305">
        <v>1500</v>
      </c>
    </row>
    <row r="306" spans="2:4" ht="30">
      <c r="B306" s="438" t="s">
        <v>1736</v>
      </c>
      <c r="C306" s="414" t="s">
        <v>60</v>
      </c>
      <c r="D306">
        <v>800</v>
      </c>
    </row>
    <row r="307" spans="2:4" ht="30">
      <c r="B307" s="455" t="s">
        <v>1737</v>
      </c>
      <c r="C307" s="414" t="s">
        <v>60</v>
      </c>
      <c r="D307">
        <v>55</v>
      </c>
    </row>
    <row r="308" spans="2:4">
      <c r="B308" s="456" t="s">
        <v>1738</v>
      </c>
      <c r="C308" s="414" t="s">
        <v>60</v>
      </c>
      <c r="D308">
        <v>10</v>
      </c>
    </row>
    <row r="309" spans="2:4">
      <c r="B309" s="456" t="s">
        <v>1739</v>
      </c>
      <c r="C309" s="414" t="s">
        <v>60</v>
      </c>
      <c r="D309">
        <v>3</v>
      </c>
    </row>
    <row r="310" spans="2:4">
      <c r="B310" s="456" t="s">
        <v>1740</v>
      </c>
      <c r="C310" s="414" t="s">
        <v>60</v>
      </c>
      <c r="D310">
        <v>5</v>
      </c>
    </row>
    <row r="311" spans="2:4">
      <c r="B311" s="456" t="s">
        <v>1741</v>
      </c>
      <c r="C311" s="414" t="s">
        <v>60</v>
      </c>
      <c r="D311">
        <v>50</v>
      </c>
    </row>
    <row r="312" spans="2:4" ht="75">
      <c r="B312" s="438" t="s">
        <v>1742</v>
      </c>
      <c r="C312" s="469" t="s">
        <v>38</v>
      </c>
      <c r="D312">
        <v>40</v>
      </c>
    </row>
    <row r="313" spans="2:4">
      <c r="B313" s="456" t="s">
        <v>1743</v>
      </c>
      <c r="C313" s="469" t="s">
        <v>60</v>
      </c>
      <c r="D313">
        <v>140</v>
      </c>
    </row>
    <row r="314" spans="2:4" ht="75">
      <c r="B314" s="438" t="s">
        <v>1744</v>
      </c>
      <c r="C314" s="469" t="s">
        <v>60</v>
      </c>
      <c r="D314">
        <v>20</v>
      </c>
    </row>
    <row r="315" spans="2:4" ht="45">
      <c r="B315" s="438" t="s">
        <v>1745</v>
      </c>
      <c r="C315" s="469" t="s">
        <v>60</v>
      </c>
      <c r="D315">
        <v>5</v>
      </c>
    </row>
    <row r="316" spans="2:4" ht="15.75">
      <c r="B316" s="470" t="s">
        <v>893</v>
      </c>
      <c r="C316" s="471"/>
    </row>
    <row r="317" spans="2:4" ht="45">
      <c r="B317" s="437" t="s">
        <v>896</v>
      </c>
      <c r="C317" s="414" t="s">
        <v>38</v>
      </c>
      <c r="D317">
        <v>50</v>
      </c>
    </row>
    <row r="318" spans="2:4" ht="45">
      <c r="B318" s="437" t="s">
        <v>899</v>
      </c>
      <c r="C318" s="414" t="s">
        <v>38</v>
      </c>
      <c r="D318">
        <v>130</v>
      </c>
    </row>
    <row r="319" spans="2:4" ht="45">
      <c r="B319" s="437" t="s">
        <v>902</v>
      </c>
      <c r="C319" s="414" t="s">
        <v>38</v>
      </c>
      <c r="D319">
        <v>25</v>
      </c>
    </row>
    <row r="320" spans="2:4" ht="45">
      <c r="B320" s="430" t="s">
        <v>905</v>
      </c>
      <c r="C320" s="414" t="s">
        <v>38</v>
      </c>
      <c r="D320">
        <v>35</v>
      </c>
    </row>
    <row r="321" spans="2:4">
      <c r="B321" s="462" t="s">
        <v>908</v>
      </c>
      <c r="C321" s="439" t="s">
        <v>60</v>
      </c>
      <c r="D321">
        <v>3</v>
      </c>
    </row>
    <row r="322" spans="2:4" ht="30">
      <c r="B322" s="430" t="s">
        <v>911</v>
      </c>
      <c r="C322" s="414" t="s">
        <v>38</v>
      </c>
      <c r="D322">
        <v>14</v>
      </c>
    </row>
    <row r="323" spans="2:4">
      <c r="B323" s="456" t="s">
        <v>914</v>
      </c>
      <c r="C323" s="414" t="s">
        <v>60</v>
      </c>
      <c r="D323">
        <v>2</v>
      </c>
    </row>
    <row r="324" spans="2:4">
      <c r="B324" s="438" t="s">
        <v>917</v>
      </c>
      <c r="C324" s="414" t="s">
        <v>60</v>
      </c>
      <c r="D324">
        <v>2</v>
      </c>
    </row>
    <row r="325" spans="2:4">
      <c r="B325" s="438" t="s">
        <v>920</v>
      </c>
      <c r="C325" s="414" t="s">
        <v>691</v>
      </c>
      <c r="D325">
        <v>1</v>
      </c>
    </row>
    <row r="326" spans="2:4">
      <c r="B326" s="438" t="s">
        <v>923</v>
      </c>
      <c r="C326" s="414" t="s">
        <v>691</v>
      </c>
      <c r="D326">
        <v>3</v>
      </c>
    </row>
    <row r="327" spans="2:4">
      <c r="B327" s="438" t="s">
        <v>926</v>
      </c>
      <c r="C327" s="414" t="s">
        <v>691</v>
      </c>
      <c r="D327">
        <v>8</v>
      </c>
    </row>
    <row r="328" spans="2:4">
      <c r="B328" s="438" t="s">
        <v>929</v>
      </c>
      <c r="C328" s="414" t="s">
        <v>691</v>
      </c>
      <c r="D328">
        <v>2</v>
      </c>
    </row>
    <row r="329" spans="2:4">
      <c r="B329" s="438" t="s">
        <v>932</v>
      </c>
      <c r="C329" s="414" t="s">
        <v>691</v>
      </c>
      <c r="D329">
        <v>3</v>
      </c>
    </row>
    <row r="330" spans="2:4">
      <c r="B330" s="472" t="s">
        <v>935</v>
      </c>
      <c r="C330" s="414" t="s">
        <v>691</v>
      </c>
      <c r="D330">
        <v>30</v>
      </c>
    </row>
    <row r="331" spans="2:4" ht="30">
      <c r="B331" s="438" t="s">
        <v>938</v>
      </c>
      <c r="C331" s="414" t="s">
        <v>691</v>
      </c>
      <c r="D331">
        <v>16</v>
      </c>
    </row>
    <row r="332" spans="2:4">
      <c r="B332" s="438" t="s">
        <v>941</v>
      </c>
      <c r="C332" s="414" t="s">
        <v>691</v>
      </c>
      <c r="D332">
        <v>16</v>
      </c>
    </row>
    <row r="333" spans="2:4">
      <c r="B333" s="438" t="s">
        <v>944</v>
      </c>
      <c r="C333" s="414" t="s">
        <v>691</v>
      </c>
      <c r="D333">
        <v>1</v>
      </c>
    </row>
    <row r="334" spans="2:4" ht="15.75">
      <c r="B334" s="473" t="s">
        <v>945</v>
      </c>
      <c r="C334" s="471"/>
    </row>
    <row r="335" spans="2:4" ht="15.75">
      <c r="B335" s="473" t="s">
        <v>947</v>
      </c>
      <c r="C335" s="471"/>
    </row>
    <row r="336" spans="2:4">
      <c r="B336" s="456" t="s">
        <v>950</v>
      </c>
      <c r="C336" s="414" t="s">
        <v>60</v>
      </c>
      <c r="D336">
        <v>5</v>
      </c>
    </row>
    <row r="337" spans="2:4">
      <c r="B337" s="456" t="s">
        <v>953</v>
      </c>
      <c r="C337" s="414" t="s">
        <v>60</v>
      </c>
      <c r="D337">
        <v>6</v>
      </c>
    </row>
    <row r="338" spans="2:4">
      <c r="B338" s="438" t="s">
        <v>956</v>
      </c>
      <c r="C338" s="414" t="s">
        <v>60</v>
      </c>
      <c r="D338">
        <v>1</v>
      </c>
    </row>
    <row r="339" spans="2:4">
      <c r="B339" s="438" t="s">
        <v>959</v>
      </c>
      <c r="C339" s="414" t="s">
        <v>38</v>
      </c>
      <c r="D339">
        <v>350</v>
      </c>
    </row>
    <row r="340" spans="2:4">
      <c r="B340" s="437" t="s">
        <v>962</v>
      </c>
      <c r="C340" s="414" t="s">
        <v>60</v>
      </c>
      <c r="D340">
        <v>22</v>
      </c>
    </row>
    <row r="341" spans="2:4">
      <c r="B341" s="456" t="s">
        <v>965</v>
      </c>
      <c r="C341" s="414" t="s">
        <v>60</v>
      </c>
      <c r="D341">
        <v>1</v>
      </c>
    </row>
    <row r="342" spans="2:4">
      <c r="B342" s="438" t="s">
        <v>968</v>
      </c>
      <c r="C342" s="414" t="s">
        <v>60</v>
      </c>
      <c r="D342">
        <v>1</v>
      </c>
    </row>
    <row r="343" spans="2:4">
      <c r="B343" s="456" t="s">
        <v>971</v>
      </c>
      <c r="C343" s="414" t="s">
        <v>60</v>
      </c>
      <c r="D343">
        <v>1</v>
      </c>
    </row>
    <row r="344" spans="2:4" ht="15.75">
      <c r="B344" s="474" t="s">
        <v>973</v>
      </c>
      <c r="C344" s="474"/>
    </row>
    <row r="345" spans="2:4">
      <c r="B345" s="437" t="s">
        <v>976</v>
      </c>
      <c r="C345" s="414" t="s">
        <v>60</v>
      </c>
      <c r="D345">
        <v>1</v>
      </c>
    </row>
    <row r="346" spans="2:4" ht="15.75">
      <c r="B346" s="417" t="s">
        <v>978</v>
      </c>
      <c r="C346" s="418"/>
    </row>
    <row r="347" spans="2:4">
      <c r="B347" s="466" t="s">
        <v>981</v>
      </c>
      <c r="C347" s="414" t="s">
        <v>60</v>
      </c>
      <c r="D347">
        <v>8</v>
      </c>
    </row>
    <row r="348" spans="2:4" ht="15.75">
      <c r="B348" s="417" t="s">
        <v>983</v>
      </c>
      <c r="C348" s="418"/>
    </row>
    <row r="349" spans="2:4">
      <c r="B349" s="456" t="s">
        <v>986</v>
      </c>
      <c r="C349" s="414" t="s">
        <v>60</v>
      </c>
      <c r="D349">
        <v>1</v>
      </c>
    </row>
    <row r="350" spans="2:4">
      <c r="B350" s="438" t="s">
        <v>959</v>
      </c>
      <c r="C350" s="414" t="s">
        <v>38</v>
      </c>
      <c r="D350">
        <v>1500</v>
      </c>
    </row>
    <row r="351" spans="2:4">
      <c r="B351" s="438" t="s">
        <v>962</v>
      </c>
      <c r="C351" s="414" t="s">
        <v>60</v>
      </c>
      <c r="D351">
        <v>32</v>
      </c>
    </row>
    <row r="352" spans="2:4">
      <c r="B352" s="454" t="s">
        <v>993</v>
      </c>
      <c r="C352" s="420" t="s">
        <v>60</v>
      </c>
      <c r="D352">
        <v>1</v>
      </c>
    </row>
    <row r="353" spans="2:4" ht="15.75">
      <c r="B353" s="417" t="s">
        <v>994</v>
      </c>
      <c r="C353" s="434"/>
    </row>
    <row r="354" spans="2:4" ht="45">
      <c r="B354" s="451" t="s">
        <v>997</v>
      </c>
      <c r="C354" s="449" t="s">
        <v>60</v>
      </c>
      <c r="D354">
        <v>1</v>
      </c>
    </row>
    <row r="355" spans="2:4" ht="15.75">
      <c r="B355" s="417" t="s">
        <v>998</v>
      </c>
      <c r="C355" s="434"/>
    </row>
    <row r="356" spans="2:4" ht="30">
      <c r="B356" s="421" t="s">
        <v>1001</v>
      </c>
      <c r="C356" s="414" t="s">
        <v>691</v>
      </c>
      <c r="D356">
        <v>4</v>
      </c>
    </row>
    <row r="357" spans="2:4" ht="45">
      <c r="B357" s="421" t="s">
        <v>1004</v>
      </c>
      <c r="C357" s="414" t="s">
        <v>691</v>
      </c>
      <c r="D357">
        <v>1</v>
      </c>
    </row>
    <row r="358" spans="2:4" ht="30">
      <c r="B358" s="413" t="s">
        <v>1007</v>
      </c>
      <c r="C358" s="414" t="s">
        <v>1008</v>
      </c>
      <c r="D358">
        <v>175</v>
      </c>
    </row>
    <row r="359" spans="2:4" ht="45">
      <c r="B359" s="413" t="s">
        <v>1011</v>
      </c>
      <c r="C359" s="414" t="s">
        <v>691</v>
      </c>
      <c r="D359">
        <v>1</v>
      </c>
    </row>
    <row r="360" spans="2:4" ht="30">
      <c r="B360" s="438" t="s">
        <v>1014</v>
      </c>
      <c r="C360" s="469" t="s">
        <v>1008</v>
      </c>
      <c r="D360">
        <v>180</v>
      </c>
    </row>
    <row r="361" spans="2:4" ht="30">
      <c r="B361" s="438" t="s">
        <v>1017</v>
      </c>
      <c r="C361" s="469" t="s">
        <v>691</v>
      </c>
      <c r="D361">
        <v>5</v>
      </c>
    </row>
    <row r="362" spans="2:4">
      <c r="B362" s="454" t="s">
        <v>1020</v>
      </c>
      <c r="C362" s="469" t="s">
        <v>691</v>
      </c>
      <c r="D362">
        <v>280</v>
      </c>
    </row>
    <row r="363" spans="2:4" ht="30">
      <c r="B363" s="438" t="s">
        <v>1023</v>
      </c>
      <c r="C363" s="469" t="s">
        <v>691</v>
      </c>
      <c r="D363">
        <v>1</v>
      </c>
    </row>
    <row r="364" spans="2:4">
      <c r="B364" s="456" t="s">
        <v>1026</v>
      </c>
      <c r="C364" s="469" t="s">
        <v>691</v>
      </c>
      <c r="D364">
        <v>17</v>
      </c>
    </row>
    <row r="365" spans="2:4" ht="45">
      <c r="B365" s="438" t="s">
        <v>1029</v>
      </c>
      <c r="C365" s="469" t="s">
        <v>691</v>
      </c>
      <c r="D365">
        <v>17</v>
      </c>
    </row>
    <row r="366" spans="2:4" ht="30">
      <c r="B366" s="438" t="s">
        <v>1032</v>
      </c>
      <c r="C366" s="469" t="s">
        <v>691</v>
      </c>
      <c r="D366">
        <v>17</v>
      </c>
    </row>
    <row r="367" spans="2:4">
      <c r="B367" s="438" t="s">
        <v>1035</v>
      </c>
      <c r="C367" s="469" t="s">
        <v>691</v>
      </c>
      <c r="D367">
        <v>14</v>
      </c>
    </row>
    <row r="368" spans="2:4">
      <c r="B368" s="456" t="s">
        <v>1038</v>
      </c>
      <c r="C368" s="469" t="s">
        <v>691</v>
      </c>
      <c r="D368">
        <v>18</v>
      </c>
    </row>
    <row r="369" spans="2:4">
      <c r="B369" s="456" t="s">
        <v>1041</v>
      </c>
      <c r="C369" s="469" t="s">
        <v>691</v>
      </c>
      <c r="D369">
        <v>180</v>
      </c>
    </row>
    <row r="370" spans="2:4">
      <c r="B370" s="455" t="s">
        <v>1044</v>
      </c>
      <c r="C370" s="469" t="s">
        <v>691</v>
      </c>
      <c r="D370">
        <v>17</v>
      </c>
    </row>
    <row r="371" spans="2:4">
      <c r="B371" s="456" t="s">
        <v>1047</v>
      </c>
      <c r="C371" s="469" t="s">
        <v>691</v>
      </c>
      <c r="D371">
        <v>176</v>
      </c>
    </row>
    <row r="372" spans="2:4">
      <c r="B372" s="456" t="s">
        <v>1050</v>
      </c>
      <c r="C372" s="469" t="s">
        <v>691</v>
      </c>
      <c r="D372">
        <v>130</v>
      </c>
    </row>
    <row r="373" spans="2:4" ht="15.75">
      <c r="B373" s="475" t="s">
        <v>1051</v>
      </c>
      <c r="C373" s="476"/>
    </row>
    <row r="374" spans="2:4" ht="15.75">
      <c r="B374" s="441" t="s">
        <v>1053</v>
      </c>
      <c r="C374" s="418"/>
    </row>
    <row r="375" spans="2:4" ht="30">
      <c r="B375" s="448" t="s">
        <v>1056</v>
      </c>
      <c r="C375" s="449" t="s">
        <v>38</v>
      </c>
      <c r="D375">
        <v>6.5</v>
      </c>
    </row>
    <row r="376" spans="2:4">
      <c r="B376" s="450" t="s">
        <v>1059</v>
      </c>
      <c r="C376" s="444" t="s">
        <v>38</v>
      </c>
      <c r="D376">
        <v>111</v>
      </c>
    </row>
    <row r="377" spans="2:4">
      <c r="B377" s="448" t="s">
        <v>1062</v>
      </c>
      <c r="C377" s="449" t="s">
        <v>38</v>
      </c>
      <c r="D377">
        <v>76.16</v>
      </c>
    </row>
    <row r="378" spans="2:4" ht="30">
      <c r="B378" s="450" t="s">
        <v>1065</v>
      </c>
      <c r="C378" s="444" t="s">
        <v>38</v>
      </c>
      <c r="D378">
        <v>7</v>
      </c>
    </row>
    <row r="379" spans="2:4" ht="30">
      <c r="B379" s="443" t="s">
        <v>1068</v>
      </c>
      <c r="C379" s="444" t="s">
        <v>38</v>
      </c>
      <c r="D379">
        <v>615.30999999999995</v>
      </c>
    </row>
    <row r="380" spans="2:4" ht="30">
      <c r="B380" s="443" t="s">
        <v>1071</v>
      </c>
      <c r="C380" s="444" t="s">
        <v>27</v>
      </c>
      <c r="D380">
        <v>257.29000000000002</v>
      </c>
    </row>
    <row r="381" spans="2:4" ht="30">
      <c r="B381" s="443" t="s">
        <v>1074</v>
      </c>
      <c r="C381" s="444" t="s">
        <v>60</v>
      </c>
      <c r="D381">
        <v>5</v>
      </c>
    </row>
    <row r="382" spans="2:4" ht="30">
      <c r="B382" s="443" t="s">
        <v>1077</v>
      </c>
      <c r="C382" s="444" t="s">
        <v>60</v>
      </c>
      <c r="D382">
        <v>1</v>
      </c>
    </row>
    <row r="383" spans="2:4">
      <c r="B383" s="451" t="s">
        <v>908</v>
      </c>
      <c r="C383" s="449" t="s">
        <v>60</v>
      </c>
      <c r="D383">
        <v>2</v>
      </c>
    </row>
    <row r="384" spans="2:4">
      <c r="B384" s="451" t="s">
        <v>1081</v>
      </c>
      <c r="C384" s="449" t="s">
        <v>60</v>
      </c>
      <c r="D384">
        <v>1</v>
      </c>
    </row>
    <row r="385" spans="2:4">
      <c r="B385" s="451" t="s">
        <v>1084</v>
      </c>
      <c r="C385" s="449" t="s">
        <v>60</v>
      </c>
      <c r="D385">
        <v>3</v>
      </c>
    </row>
    <row r="386" spans="2:4">
      <c r="B386" s="451" t="s">
        <v>1087</v>
      </c>
      <c r="C386" s="449" t="s">
        <v>60</v>
      </c>
      <c r="D386">
        <v>30</v>
      </c>
    </row>
    <row r="387" spans="2:4" ht="30">
      <c r="B387" s="451" t="s">
        <v>1090</v>
      </c>
      <c r="C387" s="449" t="s">
        <v>38</v>
      </c>
      <c r="D387">
        <v>26</v>
      </c>
    </row>
    <row r="388" spans="2:4">
      <c r="B388" s="451" t="s">
        <v>1093</v>
      </c>
      <c r="C388" s="449" t="s">
        <v>27</v>
      </c>
      <c r="D388">
        <v>15.6</v>
      </c>
    </row>
    <row r="389" spans="2:4" ht="30">
      <c r="B389" s="448" t="s">
        <v>1096</v>
      </c>
      <c r="C389" s="449" t="s">
        <v>60</v>
      </c>
      <c r="D389">
        <v>18</v>
      </c>
    </row>
    <row r="390" spans="2:4" ht="45">
      <c r="B390" s="448" t="s">
        <v>1099</v>
      </c>
      <c r="C390" s="449" t="s">
        <v>60</v>
      </c>
      <c r="D390">
        <v>17</v>
      </c>
    </row>
    <row r="391" spans="2:4">
      <c r="B391" s="448" t="s">
        <v>1102</v>
      </c>
      <c r="C391" s="449" t="s">
        <v>60</v>
      </c>
      <c r="D391">
        <v>20</v>
      </c>
    </row>
    <row r="392" spans="2:4">
      <c r="B392" s="448" t="s">
        <v>1105</v>
      </c>
      <c r="C392" s="449" t="s">
        <v>27</v>
      </c>
      <c r="D392">
        <v>8.5500000000000007</v>
      </c>
    </row>
    <row r="393" spans="2:4" ht="30">
      <c r="B393" s="443" t="s">
        <v>1108</v>
      </c>
      <c r="C393" s="444" t="s">
        <v>38</v>
      </c>
      <c r="D393">
        <v>3</v>
      </c>
    </row>
    <row r="394" spans="2:4" ht="15.75">
      <c r="B394" s="441" t="s">
        <v>1109</v>
      </c>
      <c r="C394" s="418"/>
    </row>
    <row r="395" spans="2:4" ht="30">
      <c r="B395" s="451" t="s">
        <v>1112</v>
      </c>
      <c r="C395" s="449" t="s">
        <v>60</v>
      </c>
      <c r="D395">
        <v>1</v>
      </c>
    </row>
    <row r="396" spans="2:4" ht="30">
      <c r="B396" s="443" t="s">
        <v>1114</v>
      </c>
      <c r="C396" s="444" t="s">
        <v>27</v>
      </c>
      <c r="D396">
        <v>26.91</v>
      </c>
    </row>
    <row r="397" spans="2:4" ht="30">
      <c r="B397" s="443" t="s">
        <v>1117</v>
      </c>
      <c r="C397" s="444" t="s">
        <v>38</v>
      </c>
      <c r="D397">
        <v>43.31</v>
      </c>
    </row>
  </sheetData>
  <mergeCells count="69">
    <mergeCell ref="N88:O88"/>
    <mergeCell ref="A94:D94"/>
    <mergeCell ref="G95:K95"/>
    <mergeCell ref="B103:C103"/>
    <mergeCell ref="A85:B85"/>
    <mergeCell ref="A86:B86"/>
    <mergeCell ref="N86:O86"/>
    <mergeCell ref="A87:B87"/>
    <mergeCell ref="F87:I87"/>
    <mergeCell ref="N87:O87"/>
    <mergeCell ref="AA82:AB82"/>
    <mergeCell ref="A83:D83"/>
    <mergeCell ref="AA83:AB83"/>
    <mergeCell ref="A84:B84"/>
    <mergeCell ref="AA84:AB84"/>
    <mergeCell ref="S75:T75"/>
    <mergeCell ref="S76:T76"/>
    <mergeCell ref="S77:T77"/>
    <mergeCell ref="S78:T78"/>
    <mergeCell ref="V81:AB81"/>
    <mergeCell ref="A67:C67"/>
    <mergeCell ref="E67:K67"/>
    <mergeCell ref="N69:T69"/>
    <mergeCell ref="S72:T72"/>
    <mergeCell ref="N74:T74"/>
    <mergeCell ref="B58:J58"/>
    <mergeCell ref="A60:E60"/>
    <mergeCell ref="N62:T62"/>
    <mergeCell ref="A64:C64"/>
    <mergeCell ref="A65:B65"/>
    <mergeCell ref="F65:G65"/>
    <mergeCell ref="A50:D50"/>
    <mergeCell ref="F50:J50"/>
    <mergeCell ref="N55:T55"/>
    <mergeCell ref="A56:B56"/>
    <mergeCell ref="C56:D56"/>
    <mergeCell ref="E56:F56"/>
    <mergeCell ref="N38:T38"/>
    <mergeCell ref="N43:T43"/>
    <mergeCell ref="A46:D46"/>
    <mergeCell ref="F46:J46"/>
    <mergeCell ref="N49:T49"/>
    <mergeCell ref="N32:O32"/>
    <mergeCell ref="P32:Q32"/>
    <mergeCell ref="N33:O33"/>
    <mergeCell ref="P33:Q33"/>
    <mergeCell ref="O36:S36"/>
    <mergeCell ref="N26:T26"/>
    <mergeCell ref="S27:T27"/>
    <mergeCell ref="S28:T28"/>
    <mergeCell ref="S29:T29"/>
    <mergeCell ref="A30:E30"/>
    <mergeCell ref="G30:K30"/>
    <mergeCell ref="N21:T21"/>
    <mergeCell ref="A22:E22"/>
    <mergeCell ref="G22:K22"/>
    <mergeCell ref="S23:T23"/>
    <mergeCell ref="S24:T24"/>
    <mergeCell ref="N12:T12"/>
    <mergeCell ref="A13:E13"/>
    <mergeCell ref="G13:K13"/>
    <mergeCell ref="N17:T17"/>
    <mergeCell ref="A18:E18"/>
    <mergeCell ref="G18:K18"/>
    <mergeCell ref="A1:D1"/>
    <mergeCell ref="A5:D5"/>
    <mergeCell ref="G5:J5"/>
    <mergeCell ref="N5:S5"/>
    <mergeCell ref="N7:S7"/>
  </mergeCells>
  <pageMargins left="0.51180555555555596" right="0.51180555555555596" top="0.78680555555555598" bottom="0.78680555555555598" header="0.31388888888888899" footer="0.31388888888888899"/>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MK81"/>
  <sheetViews>
    <sheetView showGridLines="0" view="pageBreakPreview" topLeftCell="A64" zoomScaleNormal="90" workbookViewId="0">
      <selection activeCell="L80" sqref="L80"/>
    </sheetView>
  </sheetViews>
  <sheetFormatPr defaultColWidth="9" defaultRowHeight="15"/>
  <cols>
    <col min="1" max="1" width="2.7109375" style="1" customWidth="1"/>
    <col min="2" max="2" width="12" style="1" customWidth="1"/>
    <col min="3" max="3" width="17.42578125" style="1" customWidth="1"/>
    <col min="4" max="4" width="10.42578125" style="1" customWidth="1"/>
    <col min="5" max="5" width="8.85546875" style="1" customWidth="1"/>
    <col min="6" max="6" width="13.85546875" style="1" customWidth="1"/>
    <col min="7" max="7" width="14.85546875" style="1" customWidth="1"/>
    <col min="8" max="8" width="16.7109375" style="1" customWidth="1"/>
    <col min="9" max="9" width="20.28515625" style="1" customWidth="1"/>
    <col min="10" max="10" width="12.42578125" style="1" customWidth="1"/>
    <col min="11" max="11" width="15.42578125" style="1" customWidth="1"/>
    <col min="12" max="12" width="14.85546875" style="1" customWidth="1"/>
    <col min="13" max="13" width="25.140625" style="1" customWidth="1"/>
    <col min="14" max="14" width="5.28515625" style="1" customWidth="1"/>
    <col min="15" max="15" width="9.42578125" style="1" customWidth="1"/>
    <col min="16" max="16" width="16.140625" style="1" customWidth="1"/>
    <col min="17" max="17" width="19.5703125" style="1" customWidth="1"/>
    <col min="18" max="18" width="9.140625" style="1" customWidth="1"/>
    <col min="19" max="19" width="13.7109375" style="1" customWidth="1"/>
    <col min="20" max="20" width="15" style="1" customWidth="1"/>
    <col min="21" max="21" width="31" style="1" customWidth="1"/>
    <col min="22" max="22" width="19.140625" style="1" customWidth="1"/>
    <col min="23" max="23" width="11" style="1" customWidth="1"/>
    <col min="24" max="24" width="12.140625" style="1" customWidth="1"/>
    <col min="25" max="1025" width="9.140625" style="1" customWidth="1"/>
  </cols>
  <sheetData>
    <row r="1" spans="2:13">
      <c r="D1" s="2"/>
      <c r="F1" s="3"/>
      <c r="G1" s="3"/>
      <c r="L1" s="35"/>
    </row>
    <row r="2" spans="2:13">
      <c r="D2" s="2"/>
      <c r="F2" s="3"/>
      <c r="G2" s="3"/>
      <c r="L2" s="35"/>
    </row>
    <row r="3" spans="2:13">
      <c r="D3" s="2"/>
      <c r="F3" s="3"/>
      <c r="G3" s="3"/>
      <c r="L3" s="35"/>
    </row>
    <row r="4" spans="2:13">
      <c r="D4" s="2"/>
      <c r="F4" s="3"/>
      <c r="G4" s="3"/>
      <c r="L4" s="35"/>
    </row>
    <row r="5" spans="2:13">
      <c r="D5" s="2"/>
      <c r="F5" s="3"/>
      <c r="G5" s="3"/>
      <c r="L5" s="35"/>
    </row>
    <row r="6" spans="2:13" ht="18.75">
      <c r="B6" s="9"/>
      <c r="C6" s="13"/>
      <c r="D6" s="12"/>
      <c r="E6" s="13"/>
      <c r="I6" s="9"/>
      <c r="K6" s="13"/>
      <c r="L6" s="9"/>
      <c r="M6" s="35"/>
    </row>
    <row r="7" spans="2:13" ht="31.5">
      <c r="B7" s="4" t="s">
        <v>1746</v>
      </c>
      <c r="C7" s="4"/>
      <c r="D7" s="4"/>
      <c r="E7" s="4"/>
      <c r="F7" s="4"/>
      <c r="G7" s="4"/>
      <c r="I7" s="5"/>
      <c r="K7" s="13"/>
      <c r="L7" s="5"/>
      <c r="M7" s="35"/>
    </row>
    <row r="8" spans="2:13" ht="18.75">
      <c r="B8" s="5"/>
      <c r="C8" s="5"/>
      <c r="D8" s="7"/>
      <c r="E8" s="10"/>
      <c r="I8" s="5"/>
      <c r="K8" s="13"/>
      <c r="L8" s="5"/>
      <c r="M8" s="35"/>
    </row>
    <row r="9" spans="2:13" ht="18.75">
      <c r="H9" s="5"/>
      <c r="I9" s="5"/>
      <c r="K9" s="13"/>
      <c r="M9" s="35"/>
    </row>
    <row r="10" spans="2:13" ht="18.75">
      <c r="B10" s="5"/>
      <c r="C10" s="11"/>
      <c r="D10" s="12"/>
      <c r="E10" s="5"/>
      <c r="H10" s="13"/>
      <c r="I10" s="5"/>
      <c r="K10" s="13"/>
      <c r="M10" s="35"/>
    </row>
    <row r="11" spans="2:13" ht="18.75">
      <c r="B11" s="5"/>
      <c r="C11" s="11"/>
      <c r="D11" s="12"/>
      <c r="E11" s="5"/>
      <c r="G11" s="5"/>
      <c r="H11" s="13"/>
      <c r="K11" s="13"/>
      <c r="M11" s="35"/>
    </row>
    <row r="12" spans="2:13" ht="56.25">
      <c r="B12" s="356" t="s">
        <v>1747</v>
      </c>
      <c r="C12" s="356" t="s">
        <v>1748</v>
      </c>
      <c r="D12" s="356" t="s">
        <v>1749</v>
      </c>
      <c r="E12" s="356" t="s">
        <v>1750</v>
      </c>
      <c r="F12" s="356" t="s">
        <v>1751</v>
      </c>
      <c r="G12" s="43" t="s">
        <v>1752</v>
      </c>
      <c r="H12" s="43" t="s">
        <v>1753</v>
      </c>
      <c r="I12" s="43" t="s">
        <v>1754</v>
      </c>
      <c r="J12" s="43" t="s">
        <v>1755</v>
      </c>
      <c r="K12" s="43" t="s">
        <v>1756</v>
      </c>
      <c r="L12" s="43" t="s">
        <v>1757</v>
      </c>
      <c r="M12" s="43" t="s">
        <v>1758</v>
      </c>
    </row>
    <row r="13" spans="2:13">
      <c r="B13" s="258" t="s">
        <v>1759</v>
      </c>
      <c r="C13" s="233">
        <v>0.6</v>
      </c>
      <c r="D13" s="233">
        <v>0.6</v>
      </c>
      <c r="E13" s="233">
        <v>0.06</v>
      </c>
      <c r="F13" s="233">
        <v>0.1</v>
      </c>
      <c r="G13" s="357">
        <v>1.014</v>
      </c>
      <c r="H13" s="357">
        <f t="shared" ref="H13:H20" si="0">(D13+F13)*(C13+F13)</f>
        <v>0.48999999999999994</v>
      </c>
      <c r="I13" s="357">
        <v>0.16900000000000001</v>
      </c>
      <c r="J13" s="83">
        <f t="shared" ref="J13:J20" si="1">(D13*2+C13*2)*E13</f>
        <v>0.14399999999999999</v>
      </c>
      <c r="K13" s="366">
        <f t="shared" ref="K13:K20" si="2">D13*C13*E13</f>
        <v>2.1599999999999998E-2</v>
      </c>
      <c r="L13" s="357">
        <f t="shared" ref="L13:L20" si="3">G13-K13-I13</f>
        <v>0.82340000000000002</v>
      </c>
      <c r="M13" s="357">
        <f>(G13-L13)*1.3</f>
        <v>0.24778</v>
      </c>
    </row>
    <row r="14" spans="2:13">
      <c r="B14" s="258" t="s">
        <v>1760</v>
      </c>
      <c r="C14" s="233">
        <v>0</v>
      </c>
      <c r="D14" s="233">
        <v>0</v>
      </c>
      <c r="E14" s="233">
        <v>0</v>
      </c>
      <c r="F14" s="233">
        <v>0</v>
      </c>
      <c r="G14" s="357">
        <v>0</v>
      </c>
      <c r="H14" s="357">
        <f t="shared" si="0"/>
        <v>0</v>
      </c>
      <c r="I14" s="357">
        <v>0</v>
      </c>
      <c r="J14" s="83">
        <f t="shared" si="1"/>
        <v>0</v>
      </c>
      <c r="K14" s="366">
        <f t="shared" si="2"/>
        <v>0</v>
      </c>
      <c r="L14" s="357">
        <f t="shared" si="3"/>
        <v>0</v>
      </c>
      <c r="M14" s="357">
        <v>0</v>
      </c>
    </row>
    <row r="15" spans="2:13">
      <c r="B15" s="258" t="s">
        <v>1761</v>
      </c>
      <c r="C15" s="233">
        <v>0</v>
      </c>
      <c r="D15" s="233">
        <v>0</v>
      </c>
      <c r="E15" s="233">
        <v>0</v>
      </c>
      <c r="F15" s="233">
        <v>0</v>
      </c>
      <c r="G15" s="357">
        <v>0</v>
      </c>
      <c r="H15" s="357">
        <f t="shared" si="0"/>
        <v>0</v>
      </c>
      <c r="I15" s="357">
        <v>0</v>
      </c>
      <c r="J15" s="83">
        <f t="shared" si="1"/>
        <v>0</v>
      </c>
      <c r="K15" s="366">
        <f t="shared" si="2"/>
        <v>0</v>
      </c>
      <c r="L15" s="357">
        <f t="shared" si="3"/>
        <v>0</v>
      </c>
      <c r="M15">
        <v>0</v>
      </c>
    </row>
    <row r="16" spans="2:13">
      <c r="B16" s="258" t="s">
        <v>1762</v>
      </c>
      <c r="C16" s="233">
        <v>0</v>
      </c>
      <c r="D16" s="233">
        <v>0</v>
      </c>
      <c r="E16" s="233">
        <v>0</v>
      </c>
      <c r="F16" s="233">
        <v>0</v>
      </c>
      <c r="G16" s="357">
        <v>0</v>
      </c>
      <c r="H16" s="357">
        <f t="shared" si="0"/>
        <v>0</v>
      </c>
      <c r="I16" s="357">
        <v>0</v>
      </c>
      <c r="J16" s="83">
        <f t="shared" si="1"/>
        <v>0</v>
      </c>
      <c r="K16" s="366">
        <f t="shared" si="2"/>
        <v>0</v>
      </c>
      <c r="L16" s="357">
        <f t="shared" si="3"/>
        <v>0</v>
      </c>
      <c r="M16">
        <v>0</v>
      </c>
    </row>
    <row r="17" spans="2:13">
      <c r="B17" s="258" t="s">
        <v>1763</v>
      </c>
      <c r="C17" s="233">
        <v>0</v>
      </c>
      <c r="D17" s="233">
        <v>0</v>
      </c>
      <c r="E17" s="233">
        <v>0</v>
      </c>
      <c r="F17" s="233">
        <v>0</v>
      </c>
      <c r="G17" s="357">
        <v>0</v>
      </c>
      <c r="H17" s="357">
        <f t="shared" si="0"/>
        <v>0</v>
      </c>
      <c r="I17" s="357">
        <v>0</v>
      </c>
      <c r="J17" s="83">
        <f t="shared" si="1"/>
        <v>0</v>
      </c>
      <c r="K17" s="366">
        <f t="shared" si="2"/>
        <v>0</v>
      </c>
      <c r="L17" s="357">
        <f t="shared" si="3"/>
        <v>0</v>
      </c>
      <c r="M17">
        <v>0</v>
      </c>
    </row>
    <row r="18" spans="2:13">
      <c r="B18" s="258" t="s">
        <v>1764</v>
      </c>
      <c r="C18" s="233">
        <v>0</v>
      </c>
      <c r="D18" s="233">
        <v>0</v>
      </c>
      <c r="E18" s="233">
        <v>0</v>
      </c>
      <c r="F18" s="233">
        <v>0</v>
      </c>
      <c r="G18" s="357">
        <v>0</v>
      </c>
      <c r="H18" s="357">
        <f t="shared" si="0"/>
        <v>0</v>
      </c>
      <c r="I18" s="357">
        <v>0</v>
      </c>
      <c r="J18" s="83">
        <f t="shared" si="1"/>
        <v>0</v>
      </c>
      <c r="K18" s="366">
        <f t="shared" si="2"/>
        <v>0</v>
      </c>
      <c r="L18" s="357">
        <f t="shared" si="3"/>
        <v>0</v>
      </c>
      <c r="M18">
        <v>0</v>
      </c>
    </row>
    <row r="19" spans="2:13">
      <c r="B19" s="258" t="s">
        <v>1765</v>
      </c>
      <c r="C19" s="233">
        <v>0</v>
      </c>
      <c r="D19" s="233">
        <v>0</v>
      </c>
      <c r="E19" s="233">
        <v>0</v>
      </c>
      <c r="F19" s="233">
        <v>0</v>
      </c>
      <c r="G19" s="357">
        <v>0</v>
      </c>
      <c r="H19" s="357">
        <f t="shared" si="0"/>
        <v>0</v>
      </c>
      <c r="I19" s="357">
        <v>0</v>
      </c>
      <c r="J19" s="83">
        <f t="shared" si="1"/>
        <v>0</v>
      </c>
      <c r="K19" s="366">
        <f t="shared" si="2"/>
        <v>0</v>
      </c>
      <c r="L19" s="357">
        <f t="shared" si="3"/>
        <v>0</v>
      </c>
      <c r="M19">
        <v>0</v>
      </c>
    </row>
    <row r="20" spans="2:13">
      <c r="B20" s="258" t="s">
        <v>1766</v>
      </c>
      <c r="C20" s="233">
        <v>0</v>
      </c>
      <c r="D20" s="233">
        <v>1.2</v>
      </c>
      <c r="E20" s="233">
        <v>0</v>
      </c>
      <c r="F20" s="233">
        <v>0</v>
      </c>
      <c r="G20" s="357">
        <v>0</v>
      </c>
      <c r="H20" s="357">
        <f t="shared" si="0"/>
        <v>0</v>
      </c>
      <c r="I20" s="357">
        <v>0</v>
      </c>
      <c r="J20" s="83">
        <f t="shared" si="1"/>
        <v>0</v>
      </c>
      <c r="K20" s="366">
        <f t="shared" si="2"/>
        <v>0</v>
      </c>
      <c r="L20" s="357">
        <f t="shared" si="3"/>
        <v>0</v>
      </c>
      <c r="M20">
        <v>0</v>
      </c>
    </row>
    <row r="21" spans="2:13">
      <c r="B21" s="1" t="s">
        <v>1767</v>
      </c>
      <c r="C21" s="1">
        <v>75</v>
      </c>
      <c r="D21" s="358">
        <v>0</v>
      </c>
      <c r="F21" s="54" t="s">
        <v>1376</v>
      </c>
      <c r="G21" s="24">
        <f t="shared" ref="G21:M21" si="4">SUM(G13:G13)*$C$21</f>
        <v>76.05</v>
      </c>
      <c r="H21" s="24">
        <f t="shared" si="4"/>
        <v>36.749999999999993</v>
      </c>
      <c r="I21" s="24">
        <f t="shared" si="4"/>
        <v>12.675000000000001</v>
      </c>
      <c r="J21" s="24">
        <f t="shared" si="4"/>
        <v>10.799999999999999</v>
      </c>
      <c r="K21" s="24">
        <f t="shared" si="4"/>
        <v>1.6199999999999999</v>
      </c>
      <c r="L21" s="24">
        <f t="shared" si="4"/>
        <v>61.755000000000003</v>
      </c>
      <c r="M21" s="24">
        <f t="shared" si="4"/>
        <v>18.583500000000001</v>
      </c>
    </row>
    <row r="22" spans="2:13">
      <c r="G22" s="359"/>
      <c r="H22" s="359"/>
      <c r="I22" s="359"/>
      <c r="J22" s="359"/>
      <c r="K22" s="359"/>
      <c r="L22" s="359"/>
      <c r="M22" s="359"/>
    </row>
    <row r="23" spans="2:13" ht="75">
      <c r="E23" s="360" t="s">
        <v>1768</v>
      </c>
      <c r="F23" s="361" t="s">
        <v>1769</v>
      </c>
      <c r="I23" s="361" t="s">
        <v>1770</v>
      </c>
      <c r="M23" s="361" t="s">
        <v>1771</v>
      </c>
    </row>
    <row r="32" spans="2:13" ht="31.5">
      <c r="B32" s="4" t="s">
        <v>1772</v>
      </c>
    </row>
    <row r="36" spans="2:15" ht="56.25">
      <c r="B36" s="356" t="s">
        <v>1773</v>
      </c>
      <c r="C36" s="356" t="s">
        <v>1748</v>
      </c>
      <c r="D36" s="356" t="s">
        <v>1749</v>
      </c>
      <c r="E36" s="356" t="s">
        <v>1750</v>
      </c>
      <c r="F36" s="356" t="s">
        <v>1751</v>
      </c>
      <c r="G36" s="43" t="s">
        <v>1752</v>
      </c>
      <c r="H36" s="43" t="s">
        <v>1753</v>
      </c>
      <c r="I36" s="43" t="s">
        <v>1754</v>
      </c>
      <c r="J36" s="43" t="s">
        <v>1755</v>
      </c>
      <c r="K36" s="43" t="s">
        <v>1756</v>
      </c>
      <c r="L36" s="43" t="s">
        <v>1757</v>
      </c>
      <c r="M36" s="43" t="s">
        <v>1774</v>
      </c>
    </row>
    <row r="37" spans="2:15">
      <c r="B37" s="154"/>
      <c r="C37" s="362">
        <v>5</v>
      </c>
      <c r="D37" s="362">
        <v>0.3</v>
      </c>
      <c r="E37" s="362">
        <v>0.3</v>
      </c>
      <c r="F37" s="362">
        <v>0.1</v>
      </c>
      <c r="G37" s="363">
        <v>0.8</v>
      </c>
      <c r="H37" s="363">
        <f>C37*(D37+F37)</f>
        <v>2</v>
      </c>
      <c r="I37" s="363">
        <v>0.2</v>
      </c>
      <c r="J37" s="363">
        <f>(C37*E37)*2</f>
        <v>3</v>
      </c>
      <c r="K37" s="367">
        <f>C37*D37*E37</f>
        <v>0.44999999999999996</v>
      </c>
      <c r="L37" s="363">
        <f>G37-K37-I37</f>
        <v>0.15000000000000008</v>
      </c>
      <c r="M37" s="363">
        <f>(G37-L37)*1.3</f>
        <v>0.84499999999999986</v>
      </c>
      <c r="O37" s="40"/>
    </row>
    <row r="38" spans="2:15">
      <c r="B38" s="364" t="s">
        <v>1767</v>
      </c>
      <c r="C38" s="364">
        <v>60</v>
      </c>
      <c r="D38" s="80"/>
      <c r="F38" s="164" t="s">
        <v>1775</v>
      </c>
      <c r="G38" s="24">
        <f t="shared" ref="G38:M38" si="5">SUM(G37:G37)*$C$38</f>
        <v>48</v>
      </c>
      <c r="H38" s="24">
        <f t="shared" si="5"/>
        <v>120</v>
      </c>
      <c r="I38" s="24">
        <f t="shared" si="5"/>
        <v>12</v>
      </c>
      <c r="J38" s="24">
        <f t="shared" si="5"/>
        <v>180</v>
      </c>
      <c r="K38" s="24">
        <f t="shared" si="5"/>
        <v>26.999999999999996</v>
      </c>
      <c r="L38" s="24">
        <f t="shared" si="5"/>
        <v>9.0000000000000053</v>
      </c>
      <c r="M38" s="24">
        <f t="shared" si="5"/>
        <v>50.699999999999989</v>
      </c>
    </row>
    <row r="44" spans="2:15" ht="25.5" customHeight="1">
      <c r="B44" s="128" t="s">
        <v>1201</v>
      </c>
      <c r="C44" s="128"/>
      <c r="D44" s="128"/>
    </row>
    <row r="45" spans="2:15" ht="37.5">
      <c r="B45" s="42" t="s">
        <v>1776</v>
      </c>
      <c r="C45" s="42" t="s">
        <v>1775</v>
      </c>
      <c r="D45" s="42" t="s">
        <v>1777</v>
      </c>
    </row>
    <row r="46" spans="2:15" ht="20.25" customHeight="1">
      <c r="B46" s="365" t="s">
        <v>1778</v>
      </c>
      <c r="C46" s="363">
        <f>ROUND(SUM(G38,G21),2)</f>
        <v>124.05</v>
      </c>
      <c r="D46" s="353" t="s">
        <v>1702</v>
      </c>
      <c r="E46" s="1" t="s">
        <v>1551</v>
      </c>
    </row>
    <row r="47" spans="2:15" ht="20.25" customHeight="1">
      <c r="B47" s="341" t="s">
        <v>1779</v>
      </c>
      <c r="C47" s="363">
        <f>ROUND(SUM(H21,H38),2)</f>
        <v>156.75</v>
      </c>
      <c r="D47" s="353" t="s">
        <v>1780</v>
      </c>
      <c r="E47" s="1" t="s">
        <v>1551</v>
      </c>
    </row>
    <row r="48" spans="2:15" ht="20.25" customHeight="1">
      <c r="B48" s="341" t="s">
        <v>1781</v>
      </c>
      <c r="C48" s="363">
        <f>ROUND(SUM(I21,I38),2)</f>
        <v>24.68</v>
      </c>
      <c r="D48" s="353" t="s">
        <v>1702</v>
      </c>
      <c r="E48" s="1" t="s">
        <v>1551</v>
      </c>
      <c r="K48" s="368"/>
    </row>
    <row r="49" spans="2:8" ht="20.25" customHeight="1">
      <c r="B49" s="341" t="s">
        <v>1782</v>
      </c>
      <c r="C49" s="363">
        <f>ROUND(SUM(J21,J38),2)</f>
        <v>190.8</v>
      </c>
      <c r="D49" s="353" t="s">
        <v>1780</v>
      </c>
      <c r="E49" s="1" t="s">
        <v>1551</v>
      </c>
    </row>
    <row r="50" spans="2:8" ht="20.25" customHeight="1">
      <c r="B50" s="341" t="s">
        <v>1783</v>
      </c>
      <c r="C50" s="363">
        <f>ROUND(SUM(K21,K38),2)</f>
        <v>28.62</v>
      </c>
      <c r="D50" s="353" t="s">
        <v>1702</v>
      </c>
      <c r="E50" s="1" t="s">
        <v>1551</v>
      </c>
    </row>
    <row r="51" spans="2:8" ht="27.75" customHeight="1">
      <c r="B51" s="341" t="s">
        <v>1784</v>
      </c>
      <c r="C51" s="363">
        <f>ROUND(C50*G51,2)</f>
        <v>1144.8</v>
      </c>
      <c r="D51" s="353" t="s">
        <v>1785</v>
      </c>
      <c r="E51" s="40" t="s">
        <v>1551</v>
      </c>
      <c r="F51" s="361" t="s">
        <v>1786</v>
      </c>
      <c r="G51" s="64">
        <v>40</v>
      </c>
    </row>
    <row r="52" spans="2:8" ht="20.25" customHeight="1">
      <c r="B52" s="341" t="s">
        <v>1787</v>
      </c>
      <c r="C52" s="363">
        <f>ROUND(SUM(L21,L38),2)</f>
        <v>70.760000000000005</v>
      </c>
      <c r="D52" s="353" t="s">
        <v>1702</v>
      </c>
      <c r="E52" s="1" t="s">
        <v>1551</v>
      </c>
    </row>
    <row r="53" spans="2:8" ht="20.25" customHeight="1">
      <c r="B53" s="341" t="s">
        <v>1788</v>
      </c>
      <c r="C53" s="363">
        <f>ROUND(SUM(M21,M38),2)</f>
        <v>69.28</v>
      </c>
      <c r="D53" s="353" t="s">
        <v>1702</v>
      </c>
      <c r="E53" s="1" t="s">
        <v>1551</v>
      </c>
    </row>
    <row r="56" spans="2:8" ht="31.5">
      <c r="B56" s="4" t="s">
        <v>1789</v>
      </c>
    </row>
    <row r="60" spans="2:8" ht="56.25">
      <c r="B60" s="129" t="s">
        <v>1790</v>
      </c>
      <c r="C60" s="129" t="s">
        <v>1482</v>
      </c>
      <c r="D60" s="42" t="s">
        <v>1791</v>
      </c>
      <c r="E60" s="42" t="s">
        <v>1749</v>
      </c>
      <c r="F60" s="42" t="s">
        <v>1750</v>
      </c>
      <c r="G60" s="42" t="s">
        <v>1792</v>
      </c>
    </row>
    <row r="61" spans="2:8">
      <c r="B61" s="258"/>
      <c r="C61" s="153">
        <v>60</v>
      </c>
      <c r="D61" s="20">
        <v>6</v>
      </c>
      <c r="E61" s="20">
        <v>0.3</v>
      </c>
      <c r="F61" s="20">
        <v>0.3</v>
      </c>
      <c r="G61" s="334">
        <f>((D61*E61)+((F61*D61)*2))*C61</f>
        <v>323.99999999999994</v>
      </c>
    </row>
    <row r="62" spans="2:8">
      <c r="B62" s="34"/>
      <c r="C62" s="34"/>
      <c r="D62" s="34"/>
      <c r="F62" s="54" t="s">
        <v>1775</v>
      </c>
      <c r="G62" s="55">
        <f>ROUND(SUM(G61:G61),2)</f>
        <v>324</v>
      </c>
      <c r="H62" s="1" t="s">
        <v>1551</v>
      </c>
    </row>
    <row r="67" spans="3:12" ht="56.25">
      <c r="F67" s="42" t="s">
        <v>1793</v>
      </c>
      <c r="G67" s="42" t="s">
        <v>1794</v>
      </c>
    </row>
    <row r="68" spans="3:12">
      <c r="F68" s="50" t="s">
        <v>1790</v>
      </c>
      <c r="G68" s="334">
        <f>G62</f>
        <v>324</v>
      </c>
    </row>
    <row r="69" spans="3:12">
      <c r="F69" s="63" t="s">
        <v>1376</v>
      </c>
      <c r="G69" s="55">
        <f>SUM(G68:G68)</f>
        <v>324</v>
      </c>
      <c r="H69" s="1" t="s">
        <v>1551</v>
      </c>
    </row>
    <row r="74" spans="3:12" ht="31.5">
      <c r="C74" s="4" t="s">
        <v>1795</v>
      </c>
    </row>
    <row r="77" spans="3:12" ht="37.5">
      <c r="C77" s="42" t="s">
        <v>1796</v>
      </c>
      <c r="D77" s="42" t="s">
        <v>1483</v>
      </c>
      <c r="E77" s="42" t="s">
        <v>1750</v>
      </c>
      <c r="F77" s="42" t="s">
        <v>1797</v>
      </c>
      <c r="I77" s="369" t="s">
        <v>1796</v>
      </c>
      <c r="J77" s="369" t="s">
        <v>1483</v>
      </c>
      <c r="K77" s="369" t="s">
        <v>1750</v>
      </c>
      <c r="L77" s="369" t="s">
        <v>1797</v>
      </c>
    </row>
    <row r="78" spans="3:12">
      <c r="C78" s="50" t="s">
        <v>1798</v>
      </c>
      <c r="D78" s="50">
        <f>2256.48/2</f>
        <v>1128.24</v>
      </c>
      <c r="E78" s="334">
        <v>1.2</v>
      </c>
      <c r="F78" s="334">
        <f>D78*E78</f>
        <v>1353.8879999999999</v>
      </c>
      <c r="I78" s="370" t="s">
        <v>1799</v>
      </c>
      <c r="J78" s="371">
        <v>2189</v>
      </c>
      <c r="K78" s="39">
        <v>0.15</v>
      </c>
      <c r="L78" s="372">
        <v>1283</v>
      </c>
    </row>
    <row r="79" spans="3:12" ht="30">
      <c r="C79" s="50" t="s">
        <v>1800</v>
      </c>
      <c r="D79" s="50">
        <v>2256.48</v>
      </c>
      <c r="E79" s="334">
        <v>0.3</v>
      </c>
      <c r="F79" s="334">
        <f>D79*E79</f>
        <v>676.94399999999996</v>
      </c>
      <c r="I79" s="373" t="s">
        <v>1801</v>
      </c>
      <c r="J79" s="372">
        <v>2189</v>
      </c>
      <c r="K79" s="372">
        <v>0.1</v>
      </c>
      <c r="L79" s="372">
        <f>J79*K79</f>
        <v>218.9</v>
      </c>
    </row>
    <row r="80" spans="3:12">
      <c r="C80" s="50"/>
      <c r="D80" s="1252" t="s">
        <v>1802</v>
      </c>
      <c r="E80" s="1252"/>
      <c r="F80" s="334">
        <f>SUM(F78:F79)*0.3</f>
        <v>609.24959999999999</v>
      </c>
      <c r="I80" s="372" t="s">
        <v>1803</v>
      </c>
      <c r="J80" s="372"/>
      <c r="K80" s="372"/>
      <c r="L80" s="372">
        <v>0.9</v>
      </c>
    </row>
    <row r="81" spans="3:12">
      <c r="C81" s="63" t="s">
        <v>1376</v>
      </c>
      <c r="D81" s="63"/>
      <c r="E81" s="55"/>
      <c r="F81" s="55">
        <f>ROUND(SUM(F78:F80),2)</f>
        <v>2640.08</v>
      </c>
      <c r="G81" s="1" t="s">
        <v>1551</v>
      </c>
      <c r="I81" s="374" t="s">
        <v>1804</v>
      </c>
      <c r="J81" s="372"/>
      <c r="K81" s="372"/>
      <c r="L81" s="375">
        <f>((L78+L79)/L80)</f>
        <v>1668.7777777777778</v>
      </c>
    </row>
  </sheetData>
  <mergeCells count="1">
    <mergeCell ref="D80:E80"/>
  </mergeCells>
  <pageMargins left="0.51041666666666696" right="0.51041666666666696" top="0.78749999999999998" bottom="0.78749999999999998" header="0.51041666666666696" footer="0.51041666666666696"/>
  <pageSetup paperSize="9" scale="49" firstPageNumber="0" orientation="portrait" useFirstPageNumber="1"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MK49"/>
  <sheetViews>
    <sheetView showGridLines="0" view="pageBreakPreview" zoomScale="90" zoomScaleNormal="90" workbookViewId="0">
      <selection activeCell="E22" sqref="E22"/>
    </sheetView>
  </sheetViews>
  <sheetFormatPr defaultColWidth="9" defaultRowHeight="15"/>
  <cols>
    <col min="1" max="1" width="2.7109375" style="1" customWidth="1"/>
    <col min="2" max="2" width="28.7109375" style="1" customWidth="1"/>
    <col min="3" max="3" width="21.42578125" style="1" customWidth="1"/>
    <col min="4" max="4" width="18.7109375" style="1" customWidth="1"/>
    <col min="5" max="5" width="20" style="1" customWidth="1"/>
    <col min="6" max="6" width="18.7109375" style="1" customWidth="1"/>
    <col min="7" max="1025" width="9.140625" style="1" customWidth="1"/>
  </cols>
  <sheetData>
    <row r="1" spans="2:13">
      <c r="D1" s="2"/>
      <c r="F1" s="3"/>
      <c r="G1" s="3"/>
      <c r="L1" s="35"/>
    </row>
    <row r="2" spans="2:13">
      <c r="D2" s="2"/>
      <c r="F2" s="3"/>
      <c r="G2" s="3"/>
      <c r="L2" s="35"/>
    </row>
    <row r="3" spans="2:13" ht="31.5">
      <c r="B3" s="340" t="s">
        <v>1805</v>
      </c>
      <c r="C3" s="13"/>
      <c r="D3" s="12"/>
      <c r="E3" s="13"/>
      <c r="F3" s="9"/>
      <c r="K3" s="13"/>
      <c r="L3" s="9"/>
      <c r="M3" s="35"/>
    </row>
    <row r="4" spans="2:13" ht="18.75">
      <c r="B4" s="5"/>
      <c r="C4" s="6"/>
      <c r="D4" s="7"/>
      <c r="E4" s="8"/>
      <c r="F4" s="5"/>
      <c r="K4" s="13"/>
      <c r="L4" s="5"/>
      <c r="M4" s="35"/>
    </row>
    <row r="5" spans="2:13" ht="18.75">
      <c r="B5" s="5"/>
      <c r="C5" s="5"/>
      <c r="D5" s="7"/>
      <c r="E5" s="10"/>
      <c r="F5" s="5"/>
      <c r="K5" s="13"/>
      <c r="L5" s="5"/>
      <c r="M5" s="35"/>
    </row>
    <row r="6" spans="2:13" ht="18.75">
      <c r="F6" s="5"/>
      <c r="H6" s="5"/>
      <c r="K6" s="13"/>
      <c r="M6" s="35"/>
    </row>
    <row r="7" spans="2:13" s="70" customFormat="1" ht="36" customHeight="1">
      <c r="B7" s="129" t="s">
        <v>1806</v>
      </c>
      <c r="C7" s="42"/>
      <c r="D7" s="129" t="s">
        <v>1807</v>
      </c>
      <c r="E7" s="129" t="s">
        <v>1808</v>
      </c>
      <c r="F7" s="129" t="s">
        <v>1809</v>
      </c>
    </row>
    <row r="8" spans="2:13" s="124" customFormat="1" ht="18.75" customHeight="1">
      <c r="B8" s="341">
        <v>1104.98</v>
      </c>
      <c r="C8" s="342"/>
      <c r="D8" s="233"/>
      <c r="E8" s="233"/>
      <c r="F8" s="233">
        <f>B8*C9</f>
        <v>110.498</v>
      </c>
    </row>
    <row r="9" spans="2:13" s="124" customFormat="1" ht="18.75" customHeight="1">
      <c r="B9" s="343" t="s">
        <v>1679</v>
      </c>
      <c r="C9" s="344">
        <v>0.1</v>
      </c>
      <c r="D9" s="345"/>
      <c r="E9" s="345"/>
      <c r="F9" s="345"/>
    </row>
    <row r="10" spans="2:13" s="124" customFormat="1" ht="18.75" customHeight="1">
      <c r="B10" s="341" t="s">
        <v>1810</v>
      </c>
      <c r="C10" s="346">
        <v>80</v>
      </c>
      <c r="D10" s="233"/>
      <c r="E10" s="347">
        <f>F8*C10</f>
        <v>8839.84</v>
      </c>
      <c r="F10" s="233"/>
    </row>
    <row r="11" spans="2:13" s="124" customFormat="1" ht="18.75" customHeight="1">
      <c r="B11" s="348" t="s">
        <v>1811</v>
      </c>
      <c r="C11" s="349">
        <v>10</v>
      </c>
      <c r="D11" s="345">
        <f>F8*C11</f>
        <v>1104.98</v>
      </c>
      <c r="E11" s="345"/>
      <c r="F11" s="345"/>
    </row>
    <row r="12" spans="2:13" s="124" customFormat="1" ht="18.75" customHeight="1">
      <c r="B12" s="341"/>
      <c r="C12" s="346"/>
      <c r="D12" s="233"/>
      <c r="E12" s="233"/>
      <c r="F12" s="233"/>
    </row>
    <row r="13" spans="2:13">
      <c r="C13" s="350" t="s">
        <v>1376</v>
      </c>
      <c r="D13" s="24">
        <f>SUM(D8:D12)</f>
        <v>1104.98</v>
      </c>
      <c r="E13" s="24">
        <f>SUM(E8:E12)</f>
        <v>8839.84</v>
      </c>
      <c r="F13" s="24">
        <f>SUM(F8:F12)</f>
        <v>110.498</v>
      </c>
      <c r="G13" s="1" t="s">
        <v>1551</v>
      </c>
    </row>
    <row r="14" spans="2:13">
      <c r="C14" s="351"/>
    </row>
    <row r="18" spans="2:13" ht="31.5">
      <c r="B18" s="340" t="s">
        <v>1812</v>
      </c>
      <c r="C18" s="13"/>
      <c r="D18" s="12"/>
      <c r="E18" s="13"/>
      <c r="F18" s="9"/>
      <c r="K18" s="13"/>
      <c r="L18" s="9"/>
      <c r="M18" s="35"/>
    </row>
    <row r="21" spans="2:13" s="70" customFormat="1" ht="54" customHeight="1">
      <c r="B21" s="129" t="s">
        <v>1483</v>
      </c>
      <c r="C21" s="129" t="s">
        <v>1813</v>
      </c>
      <c r="D21" s="42" t="s">
        <v>1808</v>
      </c>
      <c r="E21" s="42" t="s">
        <v>1809</v>
      </c>
    </row>
    <row r="22" spans="2:13" s="124" customFormat="1" ht="18.75" customHeight="1">
      <c r="B22" s="341">
        <v>1104.98</v>
      </c>
      <c r="C22" s="352"/>
      <c r="D22" s="233"/>
      <c r="E22" s="233">
        <f>B22*C23</f>
        <v>110.498</v>
      </c>
    </row>
    <row r="23" spans="2:13" s="124" customFormat="1" ht="18.75" customHeight="1">
      <c r="B23" s="348" t="s">
        <v>1679</v>
      </c>
      <c r="C23" s="344">
        <v>0.1</v>
      </c>
      <c r="D23" s="233">
        <f>E22*C24</f>
        <v>8839.84</v>
      </c>
      <c r="E23" s="233"/>
    </row>
    <row r="24" spans="2:13" s="124" customFormat="1" ht="18.75" customHeight="1">
      <c r="B24" s="341" t="s">
        <v>1810</v>
      </c>
      <c r="C24" s="346">
        <v>80</v>
      </c>
      <c r="D24" s="233"/>
      <c r="E24" s="233"/>
    </row>
    <row r="25" spans="2:13" s="124" customFormat="1" ht="18.75" customHeight="1">
      <c r="B25" s="348" t="s">
        <v>1811</v>
      </c>
      <c r="C25" s="349">
        <v>10</v>
      </c>
      <c r="D25" s="233"/>
      <c r="E25" s="233"/>
    </row>
    <row r="26" spans="2:13" s="124" customFormat="1" ht="18.75" customHeight="1">
      <c r="B26" s="341"/>
      <c r="C26" s="353"/>
      <c r="D26" s="233"/>
      <c r="E26" s="233"/>
    </row>
    <row r="27" spans="2:13" s="124" customFormat="1">
      <c r="B27" s="341"/>
      <c r="C27" s="353"/>
      <c r="D27" s="233"/>
      <c r="E27" s="233"/>
    </row>
    <row r="28" spans="2:13">
      <c r="B28" s="34"/>
      <c r="C28" s="354" t="s">
        <v>1376</v>
      </c>
      <c r="D28" s="24">
        <f>SUM(D22:D27)</f>
        <v>8839.84</v>
      </c>
      <c r="E28" s="24">
        <f>SUM(E22:E27)</f>
        <v>110.498</v>
      </c>
      <c r="F28" s="1" t="s">
        <v>1551</v>
      </c>
    </row>
    <row r="36" spans="2:5" ht="18.75">
      <c r="B36" s="128" t="s">
        <v>1201</v>
      </c>
      <c r="C36" s="128"/>
      <c r="D36" s="128"/>
    </row>
    <row r="37" spans="2:5" ht="18.75">
      <c r="B37" s="42" t="s">
        <v>1776</v>
      </c>
      <c r="C37" s="42" t="s">
        <v>1775</v>
      </c>
      <c r="D37" s="42" t="s">
        <v>1777</v>
      </c>
    </row>
    <row r="38" spans="2:5">
      <c r="B38" s="341" t="s">
        <v>1814</v>
      </c>
      <c r="C38" s="344">
        <f>ROUND(D13,2)</f>
        <v>1104.98</v>
      </c>
      <c r="D38" s="353" t="s">
        <v>1780</v>
      </c>
      <c r="E38" s="1" t="s">
        <v>1551</v>
      </c>
    </row>
    <row r="39" spans="2:5">
      <c r="B39" s="341" t="s">
        <v>1784</v>
      </c>
      <c r="C39" s="344">
        <f>ROUND(SUM(E13,D28),2)</f>
        <v>17679.68</v>
      </c>
      <c r="D39" s="353" t="s">
        <v>1785</v>
      </c>
      <c r="E39" s="1" t="s">
        <v>1551</v>
      </c>
    </row>
    <row r="40" spans="2:5">
      <c r="B40" s="341" t="s">
        <v>1783</v>
      </c>
      <c r="C40" s="344">
        <f>ROUND(SUM(F13,E28),2)</f>
        <v>221</v>
      </c>
      <c r="D40" s="353" t="s">
        <v>1702</v>
      </c>
      <c r="E40" s="1" t="s">
        <v>1551</v>
      </c>
    </row>
    <row r="41" spans="2:5">
      <c r="B41" s="341"/>
      <c r="C41" s="355">
        <f>SUM(J15,J30)</f>
        <v>0</v>
      </c>
      <c r="D41" s="353"/>
    </row>
    <row r="46" spans="2:5" ht="18.75">
      <c r="B46" s="223" t="s">
        <v>1815</v>
      </c>
      <c r="C46" s="223"/>
      <c r="D46" s="223"/>
      <c r="E46" s="223"/>
    </row>
    <row r="47" spans="2:5" ht="37.5">
      <c r="B47" s="42" t="s">
        <v>1481</v>
      </c>
      <c r="C47" s="42" t="s">
        <v>1816</v>
      </c>
      <c r="D47" s="42" t="s">
        <v>1750</v>
      </c>
      <c r="E47" s="42" t="s">
        <v>1817</v>
      </c>
    </row>
    <row r="48" spans="2:5">
      <c r="B48" s="341" t="s">
        <v>1818</v>
      </c>
      <c r="C48" s="355">
        <v>200</v>
      </c>
      <c r="D48" s="353">
        <v>3</v>
      </c>
      <c r="E48" s="353">
        <v>10</v>
      </c>
    </row>
    <row r="49" spans="2:6">
      <c r="B49" s="341"/>
      <c r="C49" s="341"/>
      <c r="D49" s="353" t="s">
        <v>1819</v>
      </c>
      <c r="E49" s="355">
        <f>ROUND((C48/E48)*D48,2)</f>
        <v>60</v>
      </c>
      <c r="F49" s="1" t="s">
        <v>1551</v>
      </c>
    </row>
  </sheetData>
  <pageMargins left="0.51041666666666696" right="0.51041666666666696" top="0.35416666666666702" bottom="0.78749999999999998" header="0.27500000000000002" footer="0.51041666666666696"/>
  <pageSetup scale="79" firstPageNumber="0" orientation="portrait" useFirstPageNumber="1" horizontalDpi="300" verticalDpi="300"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S64"/>
  <sheetViews>
    <sheetView showGridLines="0" view="pageBreakPreview" topLeftCell="A26" zoomScaleNormal="90" workbookViewId="0">
      <selection activeCell="F50" sqref="F50"/>
    </sheetView>
  </sheetViews>
  <sheetFormatPr defaultColWidth="9" defaultRowHeight="15"/>
  <cols>
    <col min="1" max="1" width="10.5703125" customWidth="1"/>
    <col min="2" max="2" width="20" customWidth="1"/>
    <col min="3" max="3" width="22.42578125" customWidth="1"/>
    <col min="4" max="6" width="19.7109375" customWidth="1"/>
    <col min="7" max="7" width="19.7109375" style="136" customWidth="1"/>
    <col min="8" max="8" width="21.28515625" style="136" customWidth="1"/>
    <col min="9" max="9" width="19.7109375" customWidth="1"/>
    <col min="10" max="10" width="13.5703125" customWidth="1"/>
    <col min="11" max="11" width="13.28515625" customWidth="1"/>
    <col min="12" max="12" width="10.28515625" customWidth="1"/>
    <col min="13" max="13" width="11" customWidth="1"/>
    <col min="14" max="14" width="12.42578125" customWidth="1"/>
    <col min="15" max="15" width="10.7109375" customWidth="1"/>
    <col min="16" max="16" width="9" customWidth="1"/>
    <col min="17" max="17" width="10.42578125" customWidth="1"/>
    <col min="18" max="18" width="13.140625" customWidth="1"/>
    <col min="19" max="19" width="13.7109375" customWidth="1"/>
    <col min="20" max="1025" width="8.7109375" customWidth="1"/>
  </cols>
  <sheetData>
    <row r="1" spans="1:18">
      <c r="A1" t="s">
        <v>1449</v>
      </c>
      <c r="B1" t="s">
        <v>1450</v>
      </c>
      <c r="C1" s="89">
        <v>4.2</v>
      </c>
      <c r="D1">
        <v>2</v>
      </c>
      <c r="E1">
        <v>2.1</v>
      </c>
      <c r="I1" t="s">
        <v>1451</v>
      </c>
      <c r="J1" s="89">
        <v>0.6</v>
      </c>
      <c r="K1">
        <v>1</v>
      </c>
      <c r="L1">
        <v>0.6</v>
      </c>
      <c r="N1" t="s">
        <v>1452</v>
      </c>
    </row>
    <row r="2" spans="1:18">
      <c r="C2" s="89"/>
      <c r="I2" t="s">
        <v>1453</v>
      </c>
      <c r="J2" s="89">
        <v>0.8</v>
      </c>
      <c r="K2">
        <v>1</v>
      </c>
      <c r="L2">
        <v>0.8</v>
      </c>
      <c r="O2" t="s">
        <v>1454</v>
      </c>
      <c r="P2" s="89">
        <v>1.68</v>
      </c>
      <c r="Q2">
        <v>0.8</v>
      </c>
      <c r="R2">
        <v>2.1</v>
      </c>
    </row>
    <row r="3" spans="1:18">
      <c r="C3" s="89"/>
      <c r="I3" t="s">
        <v>1455</v>
      </c>
      <c r="J3" s="89">
        <v>1.2</v>
      </c>
      <c r="K3">
        <v>1.5</v>
      </c>
      <c r="L3">
        <v>0.8</v>
      </c>
      <c r="O3" t="s">
        <v>1456</v>
      </c>
      <c r="P3" s="89">
        <v>1.89</v>
      </c>
      <c r="Q3">
        <v>0.9</v>
      </c>
      <c r="R3">
        <v>2.1</v>
      </c>
    </row>
    <row r="4" spans="1:18">
      <c r="C4" s="89"/>
      <c r="I4" t="s">
        <v>1457</v>
      </c>
      <c r="J4" s="89">
        <v>1.8</v>
      </c>
      <c r="K4">
        <v>1.5</v>
      </c>
      <c r="L4">
        <v>1.2</v>
      </c>
      <c r="O4" t="s">
        <v>1458</v>
      </c>
      <c r="P4" s="89">
        <f>0.9*2.1</f>
        <v>1.8900000000000001</v>
      </c>
      <c r="Q4">
        <v>0.9</v>
      </c>
      <c r="R4">
        <v>2.1</v>
      </c>
    </row>
    <row r="5" spans="1:18">
      <c r="C5" s="89"/>
      <c r="I5" t="s">
        <v>1459</v>
      </c>
      <c r="J5" s="89">
        <v>2.31</v>
      </c>
      <c r="K5">
        <v>1.4</v>
      </c>
      <c r="L5">
        <v>1.65</v>
      </c>
      <c r="O5" t="s">
        <v>1460</v>
      </c>
      <c r="P5" s="89">
        <v>1.68</v>
      </c>
      <c r="Q5">
        <v>0.8</v>
      </c>
      <c r="R5">
        <v>2.1</v>
      </c>
    </row>
    <row r="6" spans="1:18">
      <c r="B6" t="s">
        <v>1461</v>
      </c>
      <c r="C6" s="89">
        <f>1.5*2.1</f>
        <v>3.1500000000000004</v>
      </c>
      <c r="D6">
        <v>1.5</v>
      </c>
      <c r="E6">
        <v>2.1</v>
      </c>
      <c r="J6" s="89"/>
      <c r="O6" t="s">
        <v>1462</v>
      </c>
      <c r="P6" s="89">
        <f>3*3</f>
        <v>9</v>
      </c>
      <c r="Q6">
        <v>3</v>
      </c>
      <c r="R6">
        <v>3</v>
      </c>
    </row>
    <row r="7" spans="1:18">
      <c r="I7" t="s">
        <v>1463</v>
      </c>
      <c r="J7" s="89">
        <v>1.2</v>
      </c>
      <c r="K7">
        <v>2</v>
      </c>
      <c r="L7">
        <v>0.6</v>
      </c>
      <c r="O7" t="s">
        <v>1464</v>
      </c>
      <c r="P7" s="89">
        <f>3.5*2.5</f>
        <v>8.75</v>
      </c>
      <c r="Q7">
        <v>3.5</v>
      </c>
      <c r="R7">
        <v>2.5</v>
      </c>
    </row>
    <row r="8" spans="1:18">
      <c r="I8" t="s">
        <v>1465</v>
      </c>
      <c r="J8" s="89">
        <v>2.4</v>
      </c>
      <c r="K8">
        <v>2</v>
      </c>
      <c r="L8">
        <v>1.2</v>
      </c>
      <c r="O8" t="s">
        <v>1466</v>
      </c>
      <c r="P8" s="89">
        <f>4*2.2</f>
        <v>8.8000000000000007</v>
      </c>
      <c r="Q8">
        <v>4</v>
      </c>
      <c r="R8">
        <v>2.2000000000000002</v>
      </c>
    </row>
    <row r="9" spans="1:18">
      <c r="I9" t="s">
        <v>1467</v>
      </c>
      <c r="J9" s="89">
        <f>2*1</f>
        <v>2</v>
      </c>
      <c r="K9">
        <v>2</v>
      </c>
      <c r="L9">
        <v>1</v>
      </c>
      <c r="O9" t="s">
        <v>1468</v>
      </c>
      <c r="P9" s="89">
        <f>4.7*2.5</f>
        <v>11.75</v>
      </c>
      <c r="Q9">
        <v>4.7</v>
      </c>
      <c r="R9">
        <v>2.5</v>
      </c>
    </row>
    <row r="10" spans="1:18">
      <c r="I10" t="s">
        <v>1469</v>
      </c>
      <c r="J10" s="89">
        <f>2*1.65</f>
        <v>3.3</v>
      </c>
      <c r="K10">
        <v>2</v>
      </c>
      <c r="L10">
        <v>1.65</v>
      </c>
    </row>
    <row r="11" spans="1:18">
      <c r="I11" t="s">
        <v>1470</v>
      </c>
      <c r="J11" s="89">
        <f>2.5*0.9</f>
        <v>2.25</v>
      </c>
      <c r="K11">
        <v>2.5</v>
      </c>
      <c r="L11">
        <v>0.9</v>
      </c>
    </row>
    <row r="12" spans="1:18">
      <c r="I12" t="s">
        <v>1471</v>
      </c>
      <c r="J12" s="89">
        <f>2.5*1.2</f>
        <v>3</v>
      </c>
      <c r="K12">
        <v>2.5</v>
      </c>
      <c r="L12">
        <v>1.2</v>
      </c>
    </row>
    <row r="13" spans="1:18">
      <c r="I13" t="s">
        <v>1472</v>
      </c>
      <c r="J13" s="89">
        <f>3*1.2</f>
        <v>3.5999999999999996</v>
      </c>
      <c r="K13">
        <v>3</v>
      </c>
      <c r="L13">
        <v>1.2</v>
      </c>
    </row>
    <row r="14" spans="1:18">
      <c r="D14" s="40"/>
      <c r="F14" s="41"/>
      <c r="G14" s="41"/>
      <c r="L14" s="64"/>
    </row>
    <row r="15" spans="1:18">
      <c r="D15" s="40"/>
      <c r="F15" s="41"/>
      <c r="G15" s="41"/>
      <c r="L15" s="64"/>
    </row>
    <row r="16" spans="1:18">
      <c r="D16" s="40"/>
      <c r="F16" s="41"/>
      <c r="G16" s="41"/>
      <c r="L16" s="64"/>
    </row>
    <row r="17" spans="1:19" ht="31.5">
      <c r="B17" s="296" t="s">
        <v>1820</v>
      </c>
      <c r="D17" s="40"/>
      <c r="F17" s="41"/>
      <c r="G17" s="41"/>
      <c r="L17" s="64"/>
    </row>
    <row r="18" spans="1:19" ht="18.75">
      <c r="B18" s="9"/>
      <c r="C18" s="13"/>
      <c r="D18" s="12"/>
      <c r="E18" s="13"/>
      <c r="G18" s="9"/>
      <c r="K18" s="13"/>
      <c r="L18" s="9"/>
      <c r="M18" s="64"/>
    </row>
    <row r="19" spans="1:19" ht="24" customHeight="1">
      <c r="B19" s="5"/>
      <c r="C19" s="11"/>
      <c r="D19" s="12"/>
      <c r="E19" s="5"/>
      <c r="G19" s="41"/>
      <c r="H19" s="13"/>
      <c r="K19" s="13"/>
      <c r="M19" s="64"/>
    </row>
    <row r="20" spans="1:19" ht="19.5">
      <c r="B20" s="126" t="s">
        <v>1821</v>
      </c>
      <c r="C20" s="126"/>
      <c r="D20" s="13"/>
      <c r="E20" s="5"/>
      <c r="F20" s="13"/>
      <c r="G20" s="135"/>
    </row>
    <row r="21" spans="1:19" ht="18.75" customHeight="1">
      <c r="M21" s="191"/>
      <c r="N21" s="192"/>
      <c r="O21" s="169"/>
      <c r="P21" s="192"/>
      <c r="Q21" s="191"/>
      <c r="R21" s="192"/>
      <c r="S21" s="169"/>
    </row>
    <row r="22" spans="1:19" ht="33" customHeight="1">
      <c r="B22" s="137"/>
      <c r="C22" s="138"/>
      <c r="D22" s="139" t="s">
        <v>1474</v>
      </c>
      <c r="E22" s="138"/>
      <c r="F22" s="138"/>
      <c r="G22" s="138"/>
      <c r="H22" s="140" t="s">
        <v>1822</v>
      </c>
      <c r="I22" s="128"/>
      <c r="M22" s="141"/>
      <c r="N22" s="172"/>
      <c r="O22" s="172"/>
      <c r="P22" s="172"/>
      <c r="Q22" s="172"/>
      <c r="R22" s="172"/>
      <c r="S22" s="172"/>
    </row>
    <row r="23" spans="1:19" ht="27" customHeight="1">
      <c r="A23" s="141"/>
      <c r="B23" s="142" t="s">
        <v>1823</v>
      </c>
      <c r="C23" s="143"/>
      <c r="D23" s="144"/>
      <c r="E23" s="145" t="s">
        <v>1824</v>
      </c>
      <c r="F23" s="146"/>
      <c r="G23" s="143"/>
      <c r="H23" s="147"/>
      <c r="I23" s="193"/>
      <c r="L23" s="141"/>
      <c r="M23" s="194"/>
      <c r="N23" s="141"/>
      <c r="O23" s="194"/>
      <c r="P23" s="141"/>
      <c r="Q23" s="194"/>
      <c r="R23" s="141"/>
      <c r="S23" s="194"/>
    </row>
    <row r="24" spans="1:19" ht="29.25" customHeight="1">
      <c r="A24" s="141"/>
      <c r="B24" s="148" t="s">
        <v>1480</v>
      </c>
      <c r="C24" s="148" t="s">
        <v>1481</v>
      </c>
      <c r="D24" s="148" t="s">
        <v>1482</v>
      </c>
      <c r="E24" s="149" t="s">
        <v>1484</v>
      </c>
      <c r="F24" s="149" t="s">
        <v>1485</v>
      </c>
      <c r="G24" s="150" t="s">
        <v>1825</v>
      </c>
      <c r="H24" s="91" t="s">
        <v>1826</v>
      </c>
      <c r="I24" s="92" t="s">
        <v>1483</v>
      </c>
      <c r="J24" s="195"/>
      <c r="L24" s="141"/>
      <c r="M24" s="194"/>
      <c r="N24" s="141"/>
      <c r="O24" s="194"/>
      <c r="P24" s="141"/>
      <c r="Q24" s="194"/>
      <c r="R24" s="141"/>
      <c r="S24" s="194"/>
    </row>
    <row r="25" spans="1:19" ht="18" customHeight="1">
      <c r="A25" s="141"/>
      <c r="B25" s="151" t="s">
        <v>1493</v>
      </c>
      <c r="C25" s="152" t="s">
        <v>1540</v>
      </c>
      <c r="D25" s="153">
        <v>1</v>
      </c>
      <c r="E25" s="97">
        <v>170.95050000000001</v>
      </c>
      <c r="F25" s="297">
        <v>2.5</v>
      </c>
      <c r="G25" s="20">
        <f>2*(3.5*2.5)</f>
        <v>17.5</v>
      </c>
      <c r="H25" s="154" t="s">
        <v>1827</v>
      </c>
      <c r="I25" s="20">
        <f t="shared" ref="I25:I40" si="0">((E25*F25)-G25)*D25</f>
        <v>409.87625000000003</v>
      </c>
      <c r="L25" s="141"/>
      <c r="M25" s="194"/>
      <c r="N25" s="141"/>
      <c r="O25" s="194"/>
      <c r="P25" s="141"/>
      <c r="Q25" s="194"/>
      <c r="R25" s="141"/>
      <c r="S25" s="141"/>
    </row>
    <row r="26" spans="1:19" ht="18" customHeight="1">
      <c r="A26" s="141"/>
      <c r="B26" s="151" t="s">
        <v>1493</v>
      </c>
      <c r="C26" s="152" t="s">
        <v>1828</v>
      </c>
      <c r="D26" s="155">
        <v>1</v>
      </c>
      <c r="E26" s="156">
        <v>143.892</v>
      </c>
      <c r="F26" s="298">
        <v>3.1</v>
      </c>
      <c r="G26" s="157">
        <f>(J12+J12+J12+J12+P5+J7+P5+P8+J7+P8+P8+J7+P8+C1+C1+P8+J7+P8+P8+J7+P8+J11+J9+J12+J13+J1+J1+J8+J13+J1+J1+J1)</f>
        <v>120.00999999999996</v>
      </c>
      <c r="H26" s="154" t="s">
        <v>1827</v>
      </c>
      <c r="I26" s="20">
        <f t="shared" si="0"/>
        <v>326.05520000000001</v>
      </c>
      <c r="L26" s="141"/>
      <c r="M26" s="194"/>
      <c r="N26" s="141"/>
      <c r="O26" s="194"/>
      <c r="P26" s="141"/>
      <c r="Q26" s="194"/>
      <c r="R26" s="141"/>
      <c r="S26" s="141"/>
    </row>
    <row r="27" spans="1:19" ht="18" customHeight="1">
      <c r="A27" s="158"/>
      <c r="B27" s="151" t="s">
        <v>1493</v>
      </c>
      <c r="C27" s="159" t="s">
        <v>1829</v>
      </c>
      <c r="D27" s="153">
        <v>1</v>
      </c>
      <c r="E27" s="97">
        <f>(6.05+6.05+14.85+14.85+14.55+0.51+0.51+0.65+0.65+0.4+0.4+0.4+0.4+0.65+0.65)*(1.05)</f>
        <v>64.648499999999984</v>
      </c>
      <c r="F27" s="297">
        <v>3.1</v>
      </c>
      <c r="G27" s="20">
        <f>(P8+P8+J12+J12+J7+J12+J12+J12+J12+J8+J12+J12+J2+P3+P3+J4+J11+J9+C6+C6+J1+J1+P3+P3+J1)</f>
        <v>67.70999999999998</v>
      </c>
      <c r="H27" s="154" t="s">
        <v>1827</v>
      </c>
      <c r="I27" s="20">
        <f t="shared" si="0"/>
        <v>132.70034999999999</v>
      </c>
      <c r="L27" s="197"/>
      <c r="M27" s="194"/>
      <c r="N27" s="197"/>
      <c r="O27" s="194"/>
      <c r="P27" s="197"/>
      <c r="Q27" s="194"/>
      <c r="R27" s="197"/>
      <c r="S27" s="194"/>
    </row>
    <row r="28" spans="1:19" ht="18" customHeight="1">
      <c r="A28" s="158"/>
      <c r="B28" s="151" t="s">
        <v>1493</v>
      </c>
      <c r="C28" s="159" t="s">
        <v>1830</v>
      </c>
      <c r="D28" s="153">
        <v>1</v>
      </c>
      <c r="E28" s="97">
        <f>(2.6+0.9+2.6+3.68+2.1+0.9+10.15+6.06+6.06+2.15+1.52)*(1.05)</f>
        <v>40.655999999999999</v>
      </c>
      <c r="F28" s="297">
        <v>3.1</v>
      </c>
      <c r="G28" s="20">
        <v>26.79</v>
      </c>
      <c r="H28" s="154" t="s">
        <v>1831</v>
      </c>
      <c r="I28" s="20">
        <f t="shared" si="0"/>
        <v>99.243600000000015</v>
      </c>
      <c r="L28" s="197"/>
      <c r="M28" s="194"/>
      <c r="N28" s="197"/>
      <c r="O28" s="194"/>
      <c r="P28" s="197"/>
      <c r="Q28" s="194"/>
      <c r="R28" s="197"/>
      <c r="S28" s="194"/>
    </row>
    <row r="29" spans="1:19" ht="18" customHeight="1">
      <c r="A29" s="158"/>
      <c r="B29" s="151" t="s">
        <v>1493</v>
      </c>
      <c r="C29" s="299" t="s">
        <v>1832</v>
      </c>
      <c r="D29" s="300">
        <v>1</v>
      </c>
      <c r="E29" s="301">
        <f>(6.05+6.05+6+6+6+6+6+6+2.5+2.5+2.5+6.05+6.05+6.05+6.05+6.05+6.05+5.3+0.71+6.29+6.35+9.09+9.2+2.05)*(1.05)</f>
        <v>137.43449999999999</v>
      </c>
      <c r="F29" s="302">
        <v>3.1</v>
      </c>
      <c r="G29" s="233">
        <f>(P3+P3+P3+P3+P3+P3+(1*2.1)+J10+J5+P8+J13+P4+P3+P3+(1.03*2.1)+P3+P2+P2+P3)</f>
        <v>46.423000000000002</v>
      </c>
      <c r="H29" s="154" t="s">
        <v>1831</v>
      </c>
      <c r="I29" s="20">
        <f t="shared" si="0"/>
        <v>379.62394999999998</v>
      </c>
      <c r="L29" s="197"/>
      <c r="M29" s="194"/>
      <c r="N29" s="197"/>
      <c r="O29" s="194"/>
      <c r="P29" s="197"/>
      <c r="Q29" s="194"/>
      <c r="R29" s="197"/>
      <c r="S29" s="194"/>
    </row>
    <row r="30" spans="1:19" ht="18" customHeight="1">
      <c r="A30" s="158"/>
      <c r="B30" s="151" t="s">
        <v>1833</v>
      </c>
      <c r="C30" s="152" t="s">
        <v>1828</v>
      </c>
      <c r="D30" s="116">
        <v>1</v>
      </c>
      <c r="E30" s="303">
        <f>(13.57+19.27+2.56+3.05)*(1.05)</f>
        <v>40.372500000000002</v>
      </c>
      <c r="F30" s="304">
        <v>3.95</v>
      </c>
      <c r="G30" s="305"/>
      <c r="H30" s="306" t="s">
        <v>1834</v>
      </c>
      <c r="I30" s="20">
        <f t="shared" si="0"/>
        <v>159.47137500000002</v>
      </c>
      <c r="L30" s="197"/>
      <c r="M30" s="194"/>
      <c r="N30" s="197"/>
      <c r="O30" s="194"/>
      <c r="P30" s="197"/>
      <c r="Q30" s="194"/>
      <c r="R30" s="197"/>
      <c r="S30" s="194"/>
    </row>
    <row r="31" spans="1:19" ht="18" customHeight="1">
      <c r="A31" s="158"/>
      <c r="B31" s="151" t="s">
        <v>1833</v>
      </c>
      <c r="C31" s="159" t="s">
        <v>1829</v>
      </c>
      <c r="D31" s="116">
        <v>1</v>
      </c>
      <c r="E31" s="303">
        <f>(12.46+3.92+1.51+1.77)*(1.05)</f>
        <v>20.643000000000004</v>
      </c>
      <c r="F31" s="304">
        <v>3.95</v>
      </c>
      <c r="G31" s="305"/>
      <c r="H31" s="306" t="s">
        <v>1834</v>
      </c>
      <c r="I31" s="20">
        <f t="shared" si="0"/>
        <v>81.539850000000015</v>
      </c>
      <c r="L31" s="197"/>
      <c r="M31" s="194"/>
      <c r="N31" s="197"/>
      <c r="O31" s="194"/>
      <c r="P31" s="197"/>
      <c r="Q31" s="194"/>
      <c r="R31" s="197"/>
      <c r="S31" s="194"/>
    </row>
    <row r="32" spans="1:19" ht="18" customHeight="1">
      <c r="A32" s="158"/>
      <c r="B32" s="151" t="s">
        <v>1833</v>
      </c>
      <c r="C32" s="159" t="s">
        <v>1830</v>
      </c>
      <c r="D32" s="116">
        <v>1</v>
      </c>
      <c r="E32" s="303">
        <f>(1.3+10.25+7.55+7.75)*(1.05)</f>
        <v>28.192500000000003</v>
      </c>
      <c r="F32" s="304">
        <v>3.95</v>
      </c>
      <c r="G32" s="305"/>
      <c r="H32" s="306" t="s">
        <v>1831</v>
      </c>
      <c r="I32" s="20">
        <f t="shared" si="0"/>
        <v>111.36037500000002</v>
      </c>
      <c r="L32" s="197"/>
      <c r="M32" s="194"/>
      <c r="N32" s="197"/>
      <c r="O32" s="194"/>
      <c r="P32" s="197"/>
      <c r="Q32" s="194"/>
      <c r="R32" s="197"/>
      <c r="S32" s="194"/>
    </row>
    <row r="33" spans="1:19" ht="18" customHeight="1">
      <c r="A33" s="158"/>
      <c r="B33" s="151" t="s">
        <v>1833</v>
      </c>
      <c r="C33" s="299" t="s">
        <v>1832</v>
      </c>
      <c r="D33" s="116">
        <v>1</v>
      </c>
      <c r="E33" s="303">
        <f>(7.3+5.67+5.52+5.67+2.3+3.2+2.77+2.77+1.8+2.77)*(1.05)</f>
        <v>41.758500000000005</v>
      </c>
      <c r="F33" s="304">
        <v>3.95</v>
      </c>
      <c r="G33" s="305"/>
      <c r="H33" s="306" t="s">
        <v>1831</v>
      </c>
      <c r="I33" s="20">
        <f t="shared" si="0"/>
        <v>164.94607500000004</v>
      </c>
      <c r="L33" s="197"/>
      <c r="M33" s="194"/>
      <c r="N33" s="197"/>
      <c r="O33" s="194"/>
      <c r="P33" s="197"/>
      <c r="Q33" s="194"/>
      <c r="R33" s="197"/>
      <c r="S33" s="194"/>
    </row>
    <row r="34" spans="1:19" ht="18" customHeight="1">
      <c r="A34" s="158"/>
      <c r="B34" s="151" t="s">
        <v>1835</v>
      </c>
      <c r="C34" s="159" t="s">
        <v>1836</v>
      </c>
      <c r="D34" s="116">
        <v>1</v>
      </c>
      <c r="E34" s="303">
        <f>2*(2.08+2.08+2.08)+2*(2.12+2.12+2.12)</f>
        <v>25.200000000000003</v>
      </c>
      <c r="F34" s="304">
        <v>5.26</v>
      </c>
      <c r="G34" s="305"/>
      <c r="H34" s="306" t="s">
        <v>1831</v>
      </c>
      <c r="I34" s="20">
        <f t="shared" si="0"/>
        <v>132.55200000000002</v>
      </c>
      <c r="L34" s="197"/>
      <c r="M34" s="194"/>
      <c r="N34" s="197"/>
      <c r="O34" s="194"/>
      <c r="P34" s="197"/>
      <c r="Q34" s="194"/>
      <c r="R34" s="197"/>
      <c r="S34" s="194"/>
    </row>
    <row r="35" spans="1:19" ht="18" customHeight="1">
      <c r="A35" s="158"/>
      <c r="B35" s="151" t="s">
        <v>1534</v>
      </c>
      <c r="C35" s="307" t="s">
        <v>1535</v>
      </c>
      <c r="D35" s="308">
        <v>1</v>
      </c>
      <c r="E35" s="309">
        <f>2*(3.3)*(1.05)</f>
        <v>6.93</v>
      </c>
      <c r="F35" s="310">
        <v>5.36</v>
      </c>
      <c r="G35" s="311"/>
      <c r="H35" s="312" t="s">
        <v>1831</v>
      </c>
      <c r="I35" s="20">
        <f t="shared" si="0"/>
        <v>37.144800000000004</v>
      </c>
      <c r="L35" s="197"/>
      <c r="M35" s="194"/>
      <c r="N35" s="197"/>
      <c r="O35" s="194"/>
      <c r="P35" s="197"/>
      <c r="Q35" s="194"/>
      <c r="R35" s="197"/>
      <c r="S35" s="194"/>
    </row>
    <row r="36" spans="1:19" ht="18" customHeight="1">
      <c r="A36" s="158"/>
      <c r="B36" s="151" t="s">
        <v>1536</v>
      </c>
      <c r="C36" s="159" t="s">
        <v>1537</v>
      </c>
      <c r="D36" s="116">
        <v>2</v>
      </c>
      <c r="E36" s="303">
        <f>2*(1.18)*(10.5)</f>
        <v>24.779999999999998</v>
      </c>
      <c r="F36" s="304">
        <v>2.5</v>
      </c>
      <c r="G36" s="305"/>
      <c r="H36" s="306" t="s">
        <v>1831</v>
      </c>
      <c r="I36" s="20">
        <f t="shared" si="0"/>
        <v>123.89999999999999</v>
      </c>
      <c r="L36" s="197"/>
      <c r="M36" s="194"/>
      <c r="N36" s="197"/>
      <c r="O36" s="194"/>
      <c r="P36" s="197"/>
      <c r="Q36" s="194"/>
      <c r="R36" s="197"/>
      <c r="S36" s="194"/>
    </row>
    <row r="37" spans="1:19" ht="18" customHeight="1">
      <c r="A37" s="158"/>
      <c r="B37" s="151" t="s">
        <v>1538</v>
      </c>
      <c r="C37" s="307" t="s">
        <v>1539</v>
      </c>
      <c r="D37" s="308">
        <v>1</v>
      </c>
      <c r="E37" s="309">
        <f>(19.87+3.21)*(1.05)</f>
        <v>24.234000000000002</v>
      </c>
      <c r="F37" s="310">
        <v>0.8</v>
      </c>
      <c r="G37" s="311"/>
      <c r="H37" s="312" t="s">
        <v>1834</v>
      </c>
      <c r="I37" s="20">
        <f t="shared" si="0"/>
        <v>19.387200000000004</v>
      </c>
      <c r="L37" s="197"/>
      <c r="M37" s="194"/>
      <c r="N37" s="197"/>
      <c r="O37" s="194"/>
      <c r="P37" s="197"/>
      <c r="Q37" s="194"/>
      <c r="R37" s="197"/>
      <c r="S37" s="194"/>
    </row>
    <row r="38" spans="1:19" ht="18" customHeight="1">
      <c r="A38" s="158"/>
      <c r="B38" s="313" t="s">
        <v>1544</v>
      </c>
      <c r="C38" s="259" t="s">
        <v>1542</v>
      </c>
      <c r="D38" s="251">
        <v>4</v>
      </c>
      <c r="E38" s="121">
        <v>6.75</v>
      </c>
      <c r="F38" s="314">
        <v>1.05</v>
      </c>
      <c r="G38" s="315"/>
      <c r="H38" s="316" t="s">
        <v>1827</v>
      </c>
      <c r="I38" s="20">
        <f t="shared" si="0"/>
        <v>28.35</v>
      </c>
      <c r="L38" s="197"/>
      <c r="M38" s="194"/>
      <c r="N38" s="197"/>
      <c r="O38" s="194"/>
      <c r="P38" s="197"/>
      <c r="Q38" s="194"/>
      <c r="R38" s="197"/>
      <c r="S38" s="194"/>
    </row>
    <row r="39" spans="1:19" ht="18" customHeight="1">
      <c r="A39" s="158"/>
      <c r="B39" s="317" t="s">
        <v>1544</v>
      </c>
      <c r="C39" s="159" t="s">
        <v>1543</v>
      </c>
      <c r="D39" s="153">
        <v>1</v>
      </c>
      <c r="E39" s="318">
        <f>(25.79)*(1.05)</f>
        <v>27.079499999999999</v>
      </c>
      <c r="F39" s="302">
        <v>2.7</v>
      </c>
      <c r="G39" s="233"/>
      <c r="H39" s="154" t="s">
        <v>1827</v>
      </c>
      <c r="I39" s="20">
        <f t="shared" si="0"/>
        <v>73.114649999999997</v>
      </c>
      <c r="L39" s="197"/>
      <c r="M39" s="194"/>
      <c r="N39" s="141"/>
      <c r="O39" s="194"/>
      <c r="P39" s="141"/>
      <c r="Q39" s="194"/>
      <c r="R39" s="141"/>
      <c r="S39" s="141"/>
    </row>
    <row r="40" spans="1:19" ht="18" customHeight="1">
      <c r="A40" s="158"/>
      <c r="B40" s="319" t="s">
        <v>1544</v>
      </c>
      <c r="C40" s="320" t="s">
        <v>1545</v>
      </c>
      <c r="D40" s="321">
        <v>1</v>
      </c>
      <c r="E40" s="264">
        <f>(43.42+52.87+50.39+56.85+75.7)*(1.05)</f>
        <v>293.19150000000002</v>
      </c>
      <c r="F40" s="322">
        <v>1.5</v>
      </c>
      <c r="G40" s="323"/>
      <c r="H40" s="324" t="s">
        <v>1827</v>
      </c>
      <c r="I40" s="20">
        <f t="shared" si="0"/>
        <v>439.78725000000003</v>
      </c>
      <c r="L40" s="197"/>
      <c r="M40" s="194"/>
      <c r="N40" s="197"/>
      <c r="O40" s="194"/>
      <c r="P40" s="197"/>
      <c r="Q40" s="194"/>
      <c r="R40" s="197"/>
      <c r="S40" s="194"/>
    </row>
    <row r="41" spans="1:19" ht="18" customHeight="1">
      <c r="B41" s="160"/>
      <c r="C41" s="161"/>
      <c r="D41" s="162" t="s">
        <v>1376</v>
      </c>
      <c r="E41" s="163">
        <f>SUM(E25:E40)</f>
        <v>1096.7130000000002</v>
      </c>
      <c r="F41" s="164"/>
      <c r="G41" s="163">
        <f>SUM(G25:G40)</f>
        <v>278.43299999999994</v>
      </c>
      <c r="H41" s="165"/>
      <c r="I41" s="198">
        <f>SUM(I25:I40)</f>
        <v>2719.0529250000004</v>
      </c>
      <c r="L41" s="80"/>
      <c r="M41" s="199"/>
      <c r="N41" s="80"/>
      <c r="O41" s="199"/>
      <c r="P41" s="197"/>
      <c r="Q41" s="194"/>
      <c r="R41" s="197"/>
      <c r="S41" s="194"/>
    </row>
    <row r="42" spans="1:19" ht="18" customHeight="1">
      <c r="A42" s="158"/>
      <c r="L42" s="197"/>
      <c r="M42" s="194"/>
      <c r="N42" s="197"/>
      <c r="O42" s="194"/>
      <c r="P42" s="197"/>
      <c r="Q42" s="194"/>
      <c r="R42" s="197"/>
      <c r="S42" s="194"/>
    </row>
    <row r="43" spans="1:19" ht="18" customHeight="1">
      <c r="J43" s="141"/>
      <c r="K43" s="141"/>
      <c r="L43" s="197"/>
      <c r="M43" s="208"/>
      <c r="N43" s="197"/>
      <c r="O43" s="194"/>
      <c r="P43" s="197"/>
      <c r="Q43" s="194"/>
      <c r="R43" s="141"/>
      <c r="S43" s="194"/>
    </row>
    <row r="44" spans="1:19" ht="18" customHeight="1">
      <c r="B44" s="126" t="s">
        <v>1837</v>
      </c>
      <c r="C44" s="126"/>
      <c r="H44" s="141"/>
      <c r="I44" s="339"/>
      <c r="P44" s="197"/>
      <c r="Q44" s="194"/>
      <c r="R44" s="197"/>
      <c r="S44" s="194"/>
    </row>
    <row r="45" spans="1:19" ht="15.75">
      <c r="B45" s="127" t="s">
        <v>1548</v>
      </c>
      <c r="C45" s="167"/>
      <c r="P45" s="141"/>
      <c r="Q45" s="194"/>
      <c r="R45" s="141"/>
      <c r="S45" s="194"/>
    </row>
    <row r="46" spans="1:19" ht="22.5" customHeight="1">
      <c r="D46" s="140" t="s">
        <v>1838</v>
      </c>
      <c r="E46" s="140"/>
      <c r="F46" s="140"/>
      <c r="P46" s="197"/>
      <c r="Q46" s="194"/>
      <c r="R46" s="197"/>
      <c r="S46" s="194"/>
    </row>
    <row r="47" spans="1:19" ht="39.75" customHeight="1">
      <c r="D47" s="92" t="s">
        <v>1839</v>
      </c>
      <c r="E47" s="1042" t="s">
        <v>1840</v>
      </c>
      <c r="F47" s="92" t="s">
        <v>1483</v>
      </c>
      <c r="P47" s="197"/>
      <c r="Q47" s="194"/>
      <c r="R47" s="141"/>
      <c r="S47" s="194"/>
    </row>
    <row r="48" spans="1:19" ht="21" customHeight="1">
      <c r="D48" s="325" t="s">
        <v>1831</v>
      </c>
      <c r="E48" s="326">
        <v>1.1000000000000001</v>
      </c>
      <c r="F48" s="327">
        <f ca="1">ROUND(SUMIF(H25:I40,"Tijolo Cerâmico 14cm",I25:I40)*E48,2)</f>
        <v>1153.6500000000001</v>
      </c>
      <c r="G48" s="40" t="s">
        <v>1551</v>
      </c>
      <c r="K48" s="169"/>
      <c r="L48" s="169"/>
      <c r="M48" s="330"/>
      <c r="N48" s="169"/>
      <c r="O48" s="169"/>
      <c r="P48" s="197"/>
      <c r="Q48" s="194"/>
      <c r="R48" s="197"/>
      <c r="S48" s="194"/>
    </row>
    <row r="49" spans="2:19" ht="21" customHeight="1">
      <c r="D49" s="325" t="s">
        <v>1834</v>
      </c>
      <c r="E49" s="325"/>
      <c r="F49" s="327">
        <f ca="1">ROUND(SUMIF(H25:I40,"Bloco Concreto 14cm",I25:I40)*E48,2)</f>
        <v>1837.31</v>
      </c>
      <c r="G49" t="s">
        <v>1551</v>
      </c>
      <c r="K49" s="172"/>
      <c r="L49" s="172"/>
      <c r="M49" s="172"/>
      <c r="N49" s="172"/>
      <c r="O49" s="172"/>
      <c r="P49" s="197"/>
      <c r="Q49" s="194"/>
      <c r="R49" s="197"/>
      <c r="S49" s="194"/>
    </row>
    <row r="50" spans="2:19" ht="21" customHeight="1">
      <c r="D50" s="328"/>
      <c r="E50" s="329"/>
      <c r="G50" s="330"/>
      <c r="K50" s="172"/>
      <c r="L50" s="172"/>
      <c r="M50" s="172"/>
      <c r="N50" s="172"/>
      <c r="O50" s="172"/>
      <c r="P50" s="197"/>
      <c r="Q50" s="194"/>
      <c r="R50" s="197"/>
      <c r="S50" s="194"/>
    </row>
    <row r="51" spans="2:19" ht="18" customHeight="1">
      <c r="D51" s="172"/>
      <c r="E51" s="331"/>
      <c r="F51" s="332"/>
      <c r="G51" s="333"/>
      <c r="K51" s="174"/>
      <c r="L51" s="174"/>
      <c r="M51" s="333"/>
      <c r="N51" s="174"/>
      <c r="O51" s="174"/>
      <c r="P51" s="141"/>
      <c r="Q51" s="194"/>
      <c r="R51" s="141"/>
      <c r="S51" s="141"/>
    </row>
    <row r="52" spans="2:19" s="1" customFormat="1" ht="31.5">
      <c r="C52" s="4" t="s">
        <v>1841</v>
      </c>
    </row>
    <row r="53" spans="2:19" s="1" customFormat="1"/>
    <row r="54" spans="2:19" s="1" customFormat="1"/>
    <row r="55" spans="2:19" s="1" customFormat="1" ht="18.75">
      <c r="C55" s="42" t="s">
        <v>1796</v>
      </c>
      <c r="D55" s="42" t="s">
        <v>1482</v>
      </c>
      <c r="E55" s="42" t="s">
        <v>1842</v>
      </c>
      <c r="F55" s="42" t="s">
        <v>1750</v>
      </c>
      <c r="G55" s="42" t="s">
        <v>1483</v>
      </c>
    </row>
    <row r="56" spans="2:19" s="1" customFormat="1">
      <c r="C56" s="50" t="s">
        <v>1843</v>
      </c>
      <c r="D56" s="50">
        <v>2</v>
      </c>
      <c r="E56" s="334">
        <v>2</v>
      </c>
      <c r="F56" s="334">
        <v>2.1</v>
      </c>
      <c r="G56" s="334">
        <f>(E56*F56)*D56</f>
        <v>8.4</v>
      </c>
    </row>
    <row r="57" spans="2:19" s="1" customFormat="1">
      <c r="C57" s="50" t="s">
        <v>1844</v>
      </c>
      <c r="D57" s="50">
        <v>3</v>
      </c>
      <c r="E57" s="334">
        <v>1.5</v>
      </c>
      <c r="F57" s="334">
        <v>2.1</v>
      </c>
      <c r="G57" s="334">
        <f>(E57*F57)*D57</f>
        <v>9.4500000000000011</v>
      </c>
    </row>
    <row r="58" spans="2:19" s="1" customFormat="1">
      <c r="C58" s="63" t="s">
        <v>1376</v>
      </c>
      <c r="D58" s="63"/>
      <c r="E58" s="55"/>
      <c r="F58" s="55"/>
      <c r="G58" s="55">
        <f>ROUND(SUM(G56:G57),2)</f>
        <v>17.850000000000001</v>
      </c>
      <c r="H58" s="1" t="s">
        <v>1551</v>
      </c>
    </row>
    <row r="59" spans="2:19" s="1" customFormat="1">
      <c r="C59" s="335"/>
      <c r="D59" s="335"/>
      <c r="E59" s="336"/>
      <c r="F59" s="336"/>
    </row>
    <row r="60" spans="2:19" ht="33" customHeight="1">
      <c r="D60" s="337"/>
      <c r="E60" s="331"/>
      <c r="F60" s="332"/>
      <c r="G60" s="333"/>
      <c r="K60" s="174"/>
      <c r="L60" s="174"/>
      <c r="M60" s="333"/>
      <c r="N60" s="174"/>
      <c r="O60" s="174"/>
      <c r="P60" s="197"/>
      <c r="Q60" s="194"/>
      <c r="R60" s="197"/>
      <c r="S60" s="194"/>
    </row>
    <row r="61" spans="2:19" ht="18" customHeight="1">
      <c r="D61" s="136"/>
      <c r="E61" s="338"/>
      <c r="F61" s="141"/>
      <c r="G61" s="333"/>
      <c r="K61" s="141"/>
      <c r="L61" s="141"/>
      <c r="M61" s="141"/>
      <c r="N61" s="141"/>
      <c r="O61" s="141"/>
      <c r="P61" s="197"/>
      <c r="Q61" s="194"/>
      <c r="R61" s="197"/>
      <c r="S61" s="194"/>
    </row>
    <row r="62" spans="2:19" ht="18" customHeight="1">
      <c r="D62" s="136"/>
      <c r="E62" s="338"/>
      <c r="F62" s="141"/>
      <c r="G62" s="141"/>
      <c r="H62" s="331"/>
      <c r="I62" s="332"/>
      <c r="J62" s="333"/>
      <c r="K62" s="141"/>
      <c r="L62" s="141"/>
      <c r="M62" s="141"/>
      <c r="N62" s="141"/>
      <c r="O62" s="141"/>
      <c r="P62" s="197"/>
      <c r="Q62" s="194"/>
      <c r="R62" s="197"/>
      <c r="S62" s="194"/>
    </row>
    <row r="63" spans="2:19" ht="18" customHeight="1">
      <c r="B63" s="5"/>
      <c r="C63" s="11"/>
      <c r="D63" s="136"/>
      <c r="E63" s="331"/>
      <c r="F63" s="332"/>
      <c r="G63" s="141"/>
      <c r="K63" s="174"/>
      <c r="L63" s="174"/>
      <c r="M63" s="333"/>
      <c r="N63" s="174"/>
      <c r="O63" s="174"/>
      <c r="P63" s="197"/>
      <c r="Q63" s="194"/>
      <c r="R63" s="197"/>
      <c r="S63" s="194"/>
    </row>
    <row r="64" spans="2:19">
      <c r="K64" s="174"/>
      <c r="L64" s="174"/>
      <c r="M64" s="333"/>
      <c r="N64" s="174"/>
      <c r="O64" s="174"/>
      <c r="P64" s="197"/>
      <c r="Q64" s="194"/>
      <c r="R64" s="141"/>
      <c r="S64" s="194"/>
    </row>
  </sheetData>
  <pageMargins left="0.51041666666666696" right="0.196527777777778" top="0.43263888888888902" bottom="0.39305555555555599" header="0.27500000000000002" footer="0.27500000000000002"/>
  <pageSetup paperSize="9" scale="50" firstPageNumber="0" orientation="landscape" useFirstPageNumber="1" horizontalDpi="300" verticalDpi="300"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MK150"/>
  <sheetViews>
    <sheetView showGridLines="0" view="pageBreakPreview" topLeftCell="A92" zoomScaleNormal="90" workbookViewId="0">
      <pane xSplit="3" topLeftCell="D1" activePane="topRight" state="frozen"/>
      <selection pane="topRight" activeCell="F105" sqref="F105"/>
    </sheetView>
  </sheetViews>
  <sheetFormatPr defaultColWidth="9" defaultRowHeight="15"/>
  <cols>
    <col min="1" max="1" width="2" style="1" customWidth="1"/>
    <col min="2" max="2" width="28.7109375" style="1" customWidth="1"/>
    <col min="3" max="3" width="34.5703125" style="1" customWidth="1"/>
    <col min="4" max="4" width="16.28515625" style="2" customWidth="1"/>
    <col min="5" max="5" width="19.28515625" style="1" customWidth="1"/>
    <col min="6" max="6" width="15.85546875" style="3" customWidth="1"/>
    <col min="7" max="7" width="15" style="3" customWidth="1"/>
    <col min="8" max="8" width="16.5703125" style="1" customWidth="1"/>
    <col min="9" max="10" width="14.5703125" style="1" customWidth="1"/>
    <col min="11" max="11" width="21.28515625" style="1" customWidth="1"/>
    <col min="12" max="12" width="24.7109375" style="35" customWidth="1"/>
    <col min="13" max="13" width="12.140625" style="1" customWidth="1"/>
    <col min="14" max="14" width="24.7109375" style="1" customWidth="1"/>
    <col min="15" max="15" width="9.7109375" style="1" customWidth="1"/>
    <col min="16" max="16" width="23.42578125" style="35" customWidth="1"/>
    <col min="17" max="17" width="12.5703125" style="1" customWidth="1"/>
    <col min="18" max="18" width="25.28515625" style="35" customWidth="1"/>
    <col min="19" max="19" width="16.7109375" style="1" customWidth="1"/>
    <col min="20" max="20" width="14.140625" style="1" customWidth="1"/>
    <col min="21" max="21" width="19" style="1" customWidth="1"/>
    <col min="22" max="1025" width="9.140625" style="1" customWidth="1"/>
  </cols>
  <sheetData>
    <row r="1" spans="1:18">
      <c r="A1" s="1" t="s">
        <v>1449</v>
      </c>
      <c r="B1" s="33" t="s">
        <v>1450</v>
      </c>
      <c r="C1" s="89">
        <v>4.2</v>
      </c>
      <c r="D1" s="2">
        <v>2</v>
      </c>
      <c r="E1" s="1">
        <v>2.1</v>
      </c>
      <c r="I1" s="70" t="s">
        <v>1451</v>
      </c>
      <c r="J1" s="89">
        <v>0.6</v>
      </c>
      <c r="K1" s="1">
        <v>1</v>
      </c>
      <c r="L1" s="35">
        <v>0.6</v>
      </c>
      <c r="N1" s="1" t="s">
        <v>1452</v>
      </c>
    </row>
    <row r="2" spans="1:18">
      <c r="B2" s="33"/>
      <c r="C2" s="89"/>
      <c r="I2" s="70" t="s">
        <v>1453</v>
      </c>
      <c r="J2" s="89">
        <v>0.8</v>
      </c>
      <c r="K2" s="1">
        <v>1</v>
      </c>
      <c r="L2" s="35">
        <v>0.8</v>
      </c>
      <c r="O2" s="1" t="s">
        <v>1454</v>
      </c>
      <c r="P2" s="89">
        <v>1.68</v>
      </c>
      <c r="Q2" s="1">
        <v>0.8</v>
      </c>
      <c r="R2" s="35">
        <v>2.1</v>
      </c>
    </row>
    <row r="3" spans="1:18">
      <c r="B3" s="33"/>
      <c r="C3" s="89"/>
      <c r="I3" s="70" t="s">
        <v>1455</v>
      </c>
      <c r="J3" s="89">
        <v>1.2</v>
      </c>
      <c r="K3" s="1">
        <v>1.5</v>
      </c>
      <c r="L3" s="35">
        <v>0.8</v>
      </c>
      <c r="O3" s="1" t="s">
        <v>1456</v>
      </c>
      <c r="P3" s="89">
        <v>1.89</v>
      </c>
      <c r="Q3" s="1">
        <v>0.9</v>
      </c>
      <c r="R3" s="35">
        <v>2.1</v>
      </c>
    </row>
    <row r="4" spans="1:18">
      <c r="B4" s="33"/>
      <c r="C4" s="89"/>
      <c r="I4" s="70" t="s">
        <v>1457</v>
      </c>
      <c r="J4" s="89">
        <v>1.8</v>
      </c>
      <c r="K4" s="1">
        <v>1.5</v>
      </c>
      <c r="L4" s="35">
        <v>1.2</v>
      </c>
      <c r="O4" s="1" t="s">
        <v>1458</v>
      </c>
      <c r="P4" s="89">
        <v>1.89</v>
      </c>
      <c r="Q4" s="1">
        <v>0.9</v>
      </c>
      <c r="R4" s="35">
        <v>2.1</v>
      </c>
    </row>
    <row r="5" spans="1:18">
      <c r="B5" s="33"/>
      <c r="C5" s="89"/>
      <c r="I5" s="70" t="s">
        <v>1459</v>
      </c>
      <c r="J5" s="89">
        <v>2.31</v>
      </c>
      <c r="K5" s="1">
        <v>1.4</v>
      </c>
      <c r="L5" s="35">
        <v>1.65</v>
      </c>
      <c r="O5" s="1" t="s">
        <v>1460</v>
      </c>
      <c r="P5" s="89">
        <v>1.68</v>
      </c>
      <c r="Q5" s="1">
        <v>0.8</v>
      </c>
      <c r="R5" s="35">
        <v>2.1</v>
      </c>
    </row>
    <row r="6" spans="1:18">
      <c r="B6" s="33" t="s">
        <v>1461</v>
      </c>
      <c r="C6" s="89">
        <v>3.15</v>
      </c>
      <c r="D6" s="2">
        <v>1.5</v>
      </c>
      <c r="E6" s="1">
        <v>2.1</v>
      </c>
      <c r="I6" s="70"/>
      <c r="J6" s="89"/>
      <c r="O6" s="1" t="s">
        <v>1462</v>
      </c>
      <c r="P6" s="89">
        <f>3*3</f>
        <v>9</v>
      </c>
      <c r="Q6" s="1">
        <v>3</v>
      </c>
      <c r="R6" s="35">
        <v>3</v>
      </c>
    </row>
    <row r="7" spans="1:18">
      <c r="I7" s="70" t="s">
        <v>1463</v>
      </c>
      <c r="J7" s="89">
        <f>2*0.6</f>
        <v>1.2</v>
      </c>
      <c r="K7" s="1">
        <v>2</v>
      </c>
      <c r="L7" s="35">
        <v>0.6</v>
      </c>
      <c r="O7" s="1" t="s">
        <v>1464</v>
      </c>
      <c r="P7" s="89">
        <f>3.5*2.5</f>
        <v>8.75</v>
      </c>
      <c r="Q7" s="1">
        <v>3.5</v>
      </c>
      <c r="R7" s="35">
        <v>2.5</v>
      </c>
    </row>
    <row r="8" spans="1:18">
      <c r="I8" s="70" t="s">
        <v>1465</v>
      </c>
      <c r="J8" s="89">
        <v>2.4</v>
      </c>
      <c r="K8" s="1">
        <v>2</v>
      </c>
      <c r="L8" s="35">
        <v>1.2</v>
      </c>
      <c r="O8" s="1" t="s">
        <v>1466</v>
      </c>
      <c r="P8" s="89">
        <v>8.8000000000000007</v>
      </c>
      <c r="Q8" s="1">
        <v>4</v>
      </c>
      <c r="R8" s="35">
        <v>2.2000000000000002</v>
      </c>
    </row>
    <row r="9" spans="1:18">
      <c r="I9" s="70" t="s">
        <v>1467</v>
      </c>
      <c r="J9" s="89">
        <f>2*1</f>
        <v>2</v>
      </c>
      <c r="K9" s="1">
        <v>2</v>
      </c>
      <c r="L9" s="35">
        <v>1</v>
      </c>
      <c r="O9" s="1" t="s">
        <v>1468</v>
      </c>
      <c r="P9" s="89">
        <v>11.75</v>
      </c>
      <c r="Q9" s="1">
        <v>4.7</v>
      </c>
      <c r="R9" s="35">
        <v>2.5</v>
      </c>
    </row>
    <row r="10" spans="1:18">
      <c r="I10" s="70" t="s">
        <v>1469</v>
      </c>
      <c r="J10" s="89">
        <v>3.3</v>
      </c>
      <c r="K10" s="1">
        <v>2</v>
      </c>
      <c r="L10" s="35">
        <v>1.65</v>
      </c>
    </row>
    <row r="11" spans="1:18">
      <c r="I11" s="70" t="s">
        <v>1470</v>
      </c>
      <c r="J11" s="89">
        <v>2.25</v>
      </c>
      <c r="K11" s="1">
        <v>2.5</v>
      </c>
      <c r="L11" s="35">
        <v>0.9</v>
      </c>
    </row>
    <row r="12" spans="1:18">
      <c r="I12" s="70" t="s">
        <v>1471</v>
      </c>
      <c r="J12" s="89">
        <v>3</v>
      </c>
      <c r="K12" s="1">
        <v>2.5</v>
      </c>
      <c r="L12" s="35">
        <v>1.2</v>
      </c>
    </row>
    <row r="13" spans="1:18">
      <c r="I13" s="70" t="s">
        <v>1472</v>
      </c>
      <c r="J13" s="89">
        <v>3.6</v>
      </c>
      <c r="K13" s="1">
        <v>3</v>
      </c>
      <c r="L13" s="35">
        <v>1.2</v>
      </c>
    </row>
    <row r="14" spans="1:18">
      <c r="I14" s="70"/>
      <c r="J14" s="89"/>
    </row>
    <row r="15" spans="1:18">
      <c r="I15" s="70"/>
      <c r="J15" s="89"/>
    </row>
    <row r="16" spans="1:18">
      <c r="D16" s="40"/>
      <c r="F16" s="41"/>
      <c r="G16" s="41"/>
      <c r="L16" s="64"/>
    </row>
    <row r="18" spans="2:21" ht="18.75">
      <c r="B18" s="5"/>
      <c r="C18" s="11"/>
      <c r="D18" s="12"/>
      <c r="E18" s="5"/>
      <c r="F18" s="209"/>
      <c r="G18" s="209"/>
      <c r="L18" s="1"/>
      <c r="M18" s="35"/>
    </row>
    <row r="19" spans="2:21" ht="19.5">
      <c r="B19" s="126" t="s">
        <v>1845</v>
      </c>
      <c r="C19" s="126"/>
      <c r="D19" s="12"/>
      <c r="E19" s="5"/>
      <c r="F19" s="209"/>
      <c r="G19" s="209"/>
      <c r="L19" s="1"/>
      <c r="M19" s="35"/>
    </row>
    <row r="20" spans="2:21">
      <c r="N20" s="35"/>
    </row>
    <row r="21" spans="2:21" ht="24.75" customHeight="1">
      <c r="B21" s="210"/>
      <c r="C21" s="210"/>
      <c r="D21" s="210"/>
      <c r="E21" s="211" t="s">
        <v>1474</v>
      </c>
      <c r="F21" s="212"/>
      <c r="G21" s="212"/>
      <c r="H21" s="210"/>
      <c r="I21" s="210"/>
      <c r="J21" s="221"/>
      <c r="K21" s="221"/>
      <c r="L21" s="222"/>
      <c r="M21" s="223"/>
      <c r="N21" s="222"/>
      <c r="O21" s="223"/>
      <c r="P21" s="223"/>
      <c r="Q21" s="140" t="s">
        <v>1846</v>
      </c>
      <c r="R21" s="239"/>
      <c r="S21" s="223"/>
      <c r="T21" s="222"/>
      <c r="U21" s="223"/>
    </row>
    <row r="22" spans="2:21" ht="18.75" customHeight="1">
      <c r="B22" s="142" t="s">
        <v>1437</v>
      </c>
      <c r="C22" s="213"/>
      <c r="D22" s="213"/>
      <c r="E22" s="214" t="s">
        <v>1476</v>
      </c>
      <c r="F22" s="215"/>
      <c r="G22" s="215"/>
      <c r="H22" s="216"/>
      <c r="I22" s="224" t="s">
        <v>1477</v>
      </c>
      <c r="J22" s="225"/>
      <c r="K22" s="225"/>
      <c r="L22" s="226" t="s">
        <v>1478</v>
      </c>
      <c r="M22" s="193"/>
      <c r="N22" s="226" t="s">
        <v>1478</v>
      </c>
      <c r="O22" s="193"/>
      <c r="P22" s="227" t="s">
        <v>1479</v>
      </c>
      <c r="Q22" s="240"/>
      <c r="R22" s="241" t="s">
        <v>1847</v>
      </c>
      <c r="S22" s="242"/>
      <c r="T22" s="243" t="s">
        <v>1848</v>
      </c>
      <c r="U22" s="244"/>
    </row>
    <row r="23" spans="2:21" s="33" customFormat="1" ht="43.5" customHeight="1">
      <c r="B23" s="148" t="s">
        <v>1480</v>
      </c>
      <c r="C23" s="148" t="s">
        <v>1481</v>
      </c>
      <c r="D23" s="148" t="s">
        <v>1482</v>
      </c>
      <c r="E23" s="150" t="s">
        <v>1483</v>
      </c>
      <c r="F23" s="149" t="s">
        <v>1484</v>
      </c>
      <c r="G23" s="149" t="s">
        <v>1485</v>
      </c>
      <c r="H23" s="217" t="s">
        <v>1486</v>
      </c>
      <c r="I23" s="217" t="s">
        <v>1487</v>
      </c>
      <c r="J23" s="217" t="s">
        <v>1849</v>
      </c>
      <c r="K23" s="217" t="s">
        <v>1850</v>
      </c>
      <c r="L23" s="92" t="s">
        <v>1851</v>
      </c>
      <c r="M23" s="92" t="s">
        <v>1852</v>
      </c>
      <c r="N23" s="92" t="s">
        <v>1853</v>
      </c>
      <c r="O23" s="92" t="s">
        <v>1852</v>
      </c>
      <c r="P23" s="228" t="s">
        <v>1853</v>
      </c>
      <c r="Q23" s="228" t="s">
        <v>1483</v>
      </c>
      <c r="R23" s="245" t="s">
        <v>1851</v>
      </c>
      <c r="S23" s="245" t="s">
        <v>1483</v>
      </c>
      <c r="T23" s="246" t="s">
        <v>1851</v>
      </c>
      <c r="U23" s="246" t="s">
        <v>1791</v>
      </c>
    </row>
    <row r="24" spans="2:21" ht="18" customHeight="1">
      <c r="B24" s="94" t="s">
        <v>1493</v>
      </c>
      <c r="C24" s="113" t="s">
        <v>1494</v>
      </c>
      <c r="D24" s="218">
        <v>1</v>
      </c>
      <c r="E24" s="99">
        <v>40.159999999999997</v>
      </c>
      <c r="F24" s="99">
        <v>33.39</v>
      </c>
      <c r="G24" s="99">
        <v>2.8</v>
      </c>
      <c r="H24" s="99">
        <f>P8+J13+(3.28*2.8)+(8.84*2.8)+(1.65*2.8)+P5</f>
        <v>52.635999999999996</v>
      </c>
      <c r="I24" s="229"/>
      <c r="J24" s="230"/>
      <c r="K24" s="231">
        <v>17.649999999999999</v>
      </c>
      <c r="L24" s="19" t="s">
        <v>1854</v>
      </c>
      <c r="M24" s="110">
        <f>((F24*G24-H24)*D24)/2</f>
        <v>20.427999999999997</v>
      </c>
      <c r="N24" s="19" t="s">
        <v>1855</v>
      </c>
      <c r="O24" s="110">
        <f>M24</f>
        <v>20.427999999999997</v>
      </c>
      <c r="P24" s="232" t="s">
        <v>1855</v>
      </c>
      <c r="Q24" s="110">
        <f t="shared" ref="Q24:Q55" si="0">(E24-I24)*D24</f>
        <v>40.159999999999997</v>
      </c>
      <c r="R24" s="232" t="s">
        <v>1856</v>
      </c>
      <c r="S24" s="110">
        <f t="shared" ref="S24:S55" si="1">(E24-J24)*D24</f>
        <v>40.159999999999997</v>
      </c>
      <c r="T24" s="232" t="str">
        <f>R24</f>
        <v>Granito</v>
      </c>
      <c r="U24" s="247">
        <f t="shared" ref="U24:U29" si="2">(F24-K24)*D24</f>
        <v>15.740000000000002</v>
      </c>
    </row>
    <row r="25" spans="2:21" ht="18" customHeight="1">
      <c r="B25" s="94" t="s">
        <v>1493</v>
      </c>
      <c r="C25" s="95" t="s">
        <v>1497</v>
      </c>
      <c r="D25" s="218">
        <v>1</v>
      </c>
      <c r="E25" s="97">
        <v>25.95</v>
      </c>
      <c r="F25" s="97">
        <v>20.440000000000001</v>
      </c>
      <c r="G25" s="97">
        <v>2.8</v>
      </c>
      <c r="H25" s="97">
        <f>J13+J13+P4+P5</f>
        <v>10.77</v>
      </c>
      <c r="I25" s="229"/>
      <c r="J25" s="231"/>
      <c r="K25" s="231">
        <f>Q6+Q4</f>
        <v>3.9</v>
      </c>
      <c r="L25" s="19" t="s">
        <v>1855</v>
      </c>
      <c r="M25" s="110">
        <f>(F25*G25-H25)*D25</f>
        <v>46.462000000000003</v>
      </c>
      <c r="N25" s="19"/>
      <c r="O25" s="110"/>
      <c r="P25" s="232" t="s">
        <v>1855</v>
      </c>
      <c r="Q25" s="110">
        <f t="shared" si="0"/>
        <v>25.95</v>
      </c>
      <c r="R25" s="235" t="s">
        <v>1857</v>
      </c>
      <c r="S25" s="110">
        <f t="shared" si="1"/>
        <v>25.95</v>
      </c>
      <c r="T25" s="232" t="str">
        <f t="shared" ref="T25:T66" si="3">R25</f>
        <v>Porcelanato</v>
      </c>
      <c r="U25" s="247">
        <f t="shared" si="2"/>
        <v>16.540000000000003</v>
      </c>
    </row>
    <row r="26" spans="2:21" ht="18" customHeight="1">
      <c r="B26" s="94" t="s">
        <v>1493</v>
      </c>
      <c r="C26" s="95" t="s">
        <v>1498</v>
      </c>
      <c r="D26" s="218">
        <v>1</v>
      </c>
      <c r="E26" s="97">
        <v>14.03</v>
      </c>
      <c r="F26" s="97">
        <v>16.440000000000001</v>
      </c>
      <c r="G26" s="97">
        <v>2.8</v>
      </c>
      <c r="H26" s="97">
        <f>J1+P4</f>
        <v>2.4899999999999998</v>
      </c>
      <c r="I26" s="229"/>
      <c r="J26" s="231"/>
      <c r="K26" s="231">
        <f>Q4</f>
        <v>0.9</v>
      </c>
      <c r="L26" s="94" t="s">
        <v>1855</v>
      </c>
      <c r="M26" s="110">
        <f>(F26*G26-H26)*D26</f>
        <v>43.542000000000002</v>
      </c>
      <c r="N26" s="94"/>
      <c r="O26" s="110"/>
      <c r="P26" s="232" t="s">
        <v>1855</v>
      </c>
      <c r="Q26" s="110">
        <f t="shared" si="0"/>
        <v>14.03</v>
      </c>
      <c r="R26" s="235" t="s">
        <v>1857</v>
      </c>
      <c r="S26" s="110">
        <f t="shared" si="1"/>
        <v>14.03</v>
      </c>
      <c r="T26" s="232" t="str">
        <f t="shared" si="3"/>
        <v>Porcelanato</v>
      </c>
      <c r="U26" s="247">
        <f t="shared" si="2"/>
        <v>15.540000000000001</v>
      </c>
    </row>
    <row r="27" spans="2:21" ht="18" customHeight="1">
      <c r="B27" s="94" t="s">
        <v>1493</v>
      </c>
      <c r="C27" s="95" t="s">
        <v>1499</v>
      </c>
      <c r="D27" s="218">
        <v>1</v>
      </c>
      <c r="E27" s="97">
        <v>25.8</v>
      </c>
      <c r="F27" s="97">
        <v>41.56</v>
      </c>
      <c r="G27" s="97">
        <v>2.8</v>
      </c>
      <c r="H27" s="97">
        <f>(1.65*2.8)+P5+P5+P5+P3+P3+J1+J1+P3</f>
        <v>16.529999999999998</v>
      </c>
      <c r="I27" s="229"/>
      <c r="J27" s="231"/>
      <c r="K27" s="231">
        <f>1.65+Q5+Q3+Q3+Q3+Q5+Q5</f>
        <v>6.75</v>
      </c>
      <c r="L27" s="94" t="s">
        <v>1854</v>
      </c>
      <c r="M27" s="110">
        <f>((F27*G27-H27)*D27)/2</f>
        <v>49.918999999999997</v>
      </c>
      <c r="N27" s="94" t="s">
        <v>1855</v>
      </c>
      <c r="O27" s="110">
        <f>M27</f>
        <v>49.918999999999997</v>
      </c>
      <c r="P27" s="232" t="s">
        <v>1855</v>
      </c>
      <c r="Q27" s="110">
        <f t="shared" si="0"/>
        <v>25.8</v>
      </c>
      <c r="R27" s="235" t="s">
        <v>1856</v>
      </c>
      <c r="S27" s="110">
        <f t="shared" si="1"/>
        <v>25.8</v>
      </c>
      <c r="T27" s="232" t="str">
        <f t="shared" si="3"/>
        <v>Granito</v>
      </c>
      <c r="U27" s="247">
        <f t="shared" si="2"/>
        <v>34.81</v>
      </c>
    </row>
    <row r="28" spans="2:21" ht="18" customHeight="1">
      <c r="B28" s="94" t="s">
        <v>1493</v>
      </c>
      <c r="C28" s="95" t="s">
        <v>1500</v>
      </c>
      <c r="D28" s="218">
        <v>1</v>
      </c>
      <c r="E28" s="97">
        <v>11.67</v>
      </c>
      <c r="F28" s="97">
        <v>14.14</v>
      </c>
      <c r="G28" s="97">
        <v>2.8</v>
      </c>
      <c r="H28" s="97">
        <v>10.247999999999999</v>
      </c>
      <c r="I28" s="229"/>
      <c r="J28" s="231"/>
      <c r="K28" s="231">
        <f>Q5+3.06</f>
        <v>3.8600000000000003</v>
      </c>
      <c r="L28" s="94" t="s">
        <v>1855</v>
      </c>
      <c r="M28" s="110">
        <f t="shared" ref="M28:M35" si="4">(F28*G28-H28)*D28</f>
        <v>29.344000000000001</v>
      </c>
      <c r="N28" s="94"/>
      <c r="O28" s="110"/>
      <c r="P28" s="232" t="s">
        <v>1855</v>
      </c>
      <c r="Q28" s="110">
        <f t="shared" si="0"/>
        <v>11.67</v>
      </c>
      <c r="R28" s="235" t="s">
        <v>1857</v>
      </c>
      <c r="S28" s="110">
        <f t="shared" si="1"/>
        <v>11.67</v>
      </c>
      <c r="T28" s="232" t="str">
        <f t="shared" si="3"/>
        <v>Porcelanato</v>
      </c>
      <c r="U28" s="247">
        <f t="shared" si="2"/>
        <v>10.280000000000001</v>
      </c>
    </row>
    <row r="29" spans="2:21" ht="18" customHeight="1">
      <c r="B29" s="94" t="s">
        <v>1493</v>
      </c>
      <c r="C29" s="95" t="s">
        <v>1501</v>
      </c>
      <c r="D29" s="218">
        <v>1</v>
      </c>
      <c r="E29" s="97">
        <v>9.73</v>
      </c>
      <c r="F29" s="97">
        <v>14.2</v>
      </c>
      <c r="G29" s="97">
        <v>2.8</v>
      </c>
      <c r="H29" s="97">
        <f>J8+P5+P2</f>
        <v>5.76</v>
      </c>
      <c r="I29" s="229"/>
      <c r="J29" s="231"/>
      <c r="K29" s="231">
        <f>Q5+Q2</f>
        <v>1.6</v>
      </c>
      <c r="L29" s="94" t="s">
        <v>1855</v>
      </c>
      <c r="M29" s="110">
        <f t="shared" si="4"/>
        <v>34</v>
      </c>
      <c r="N29" s="94"/>
      <c r="O29" s="110"/>
      <c r="P29" s="232" t="s">
        <v>1855</v>
      </c>
      <c r="Q29" s="110">
        <f t="shared" si="0"/>
        <v>9.73</v>
      </c>
      <c r="R29" s="235" t="s">
        <v>1857</v>
      </c>
      <c r="S29" s="110">
        <f t="shared" si="1"/>
        <v>9.73</v>
      </c>
      <c r="T29" s="232" t="str">
        <f t="shared" si="3"/>
        <v>Porcelanato</v>
      </c>
      <c r="U29" s="247">
        <f t="shared" si="2"/>
        <v>12.6</v>
      </c>
    </row>
    <row r="30" spans="2:21" ht="18" customHeight="1">
      <c r="B30" s="94" t="s">
        <v>1493</v>
      </c>
      <c r="C30" s="95" t="s">
        <v>1502</v>
      </c>
      <c r="D30" s="153">
        <v>1</v>
      </c>
      <c r="E30" s="97">
        <v>2.8</v>
      </c>
      <c r="F30" s="97">
        <v>6.9</v>
      </c>
      <c r="G30" s="97">
        <v>2.8</v>
      </c>
      <c r="H30" s="97">
        <f>J1+P2</f>
        <v>2.2799999999999998</v>
      </c>
      <c r="I30" s="229"/>
      <c r="J30" s="118"/>
      <c r="K30" s="233">
        <v>6.9</v>
      </c>
      <c r="L30" s="94" t="s">
        <v>1858</v>
      </c>
      <c r="M30" s="110">
        <f t="shared" si="4"/>
        <v>17.04</v>
      </c>
      <c r="N30" s="94"/>
      <c r="O30" s="110"/>
      <c r="P30" s="232" t="s">
        <v>1855</v>
      </c>
      <c r="Q30" s="110">
        <f t="shared" si="0"/>
        <v>2.8</v>
      </c>
      <c r="R30" s="235" t="s">
        <v>1857</v>
      </c>
      <c r="S30" s="110">
        <f t="shared" si="1"/>
        <v>2.8</v>
      </c>
      <c r="T30" s="232" t="str">
        <f t="shared" si="3"/>
        <v>Porcelanato</v>
      </c>
      <c r="U30" s="247"/>
    </row>
    <row r="31" spans="2:21" ht="18" customHeight="1">
      <c r="B31" s="94" t="s">
        <v>1493</v>
      </c>
      <c r="C31" s="95" t="s">
        <v>1503</v>
      </c>
      <c r="D31" s="153">
        <v>1</v>
      </c>
      <c r="E31" s="97">
        <v>19.84</v>
      </c>
      <c r="F31" s="97">
        <v>18.8</v>
      </c>
      <c r="G31" s="97">
        <v>2.8</v>
      </c>
      <c r="H31" s="97">
        <f>J13+P5</f>
        <v>5.28</v>
      </c>
      <c r="I31" s="229"/>
      <c r="J31" s="230"/>
      <c r="K31" s="231">
        <f>Q5</f>
        <v>0.8</v>
      </c>
      <c r="L31" s="94" t="s">
        <v>1855</v>
      </c>
      <c r="M31" s="234">
        <f t="shared" si="4"/>
        <v>47.36</v>
      </c>
      <c r="N31" s="94"/>
      <c r="O31" s="234"/>
      <c r="P31" s="235" t="s">
        <v>1859</v>
      </c>
      <c r="Q31" s="110">
        <f t="shared" si="0"/>
        <v>19.84</v>
      </c>
      <c r="R31" s="235" t="s">
        <v>1857</v>
      </c>
      <c r="S31" s="110">
        <f t="shared" si="1"/>
        <v>19.84</v>
      </c>
      <c r="T31" s="232" t="str">
        <f t="shared" si="3"/>
        <v>Porcelanato</v>
      </c>
      <c r="U31" s="247">
        <f>(F31-K31)*D31</f>
        <v>18</v>
      </c>
    </row>
    <row r="32" spans="2:21" ht="18" customHeight="1">
      <c r="B32" s="94" t="s">
        <v>1493</v>
      </c>
      <c r="C32" s="95" t="s">
        <v>1504</v>
      </c>
      <c r="D32" s="153">
        <v>1</v>
      </c>
      <c r="E32" s="99">
        <v>2.7</v>
      </c>
      <c r="F32" s="99">
        <v>6.6</v>
      </c>
      <c r="G32" s="99">
        <v>2.8</v>
      </c>
      <c r="H32" s="99">
        <f>P3+J1</f>
        <v>2.4899999999999998</v>
      </c>
      <c r="I32" s="229"/>
      <c r="J32" s="230"/>
      <c r="K32" s="231">
        <v>6.6</v>
      </c>
      <c r="L32" s="19" t="s">
        <v>1854</v>
      </c>
      <c r="M32" s="110">
        <f t="shared" si="4"/>
        <v>15.989999999999997</v>
      </c>
      <c r="N32" s="94"/>
      <c r="O32" s="110"/>
      <c r="P32" s="232" t="s">
        <v>1855</v>
      </c>
      <c r="Q32" s="110">
        <f t="shared" si="0"/>
        <v>2.7</v>
      </c>
      <c r="R32" s="235" t="s">
        <v>1857</v>
      </c>
      <c r="S32" s="110">
        <f t="shared" si="1"/>
        <v>2.7</v>
      </c>
      <c r="T32" s="232" t="str">
        <f t="shared" si="3"/>
        <v>Porcelanato</v>
      </c>
      <c r="U32" s="247"/>
    </row>
    <row r="33" spans="2:21" ht="18" customHeight="1">
      <c r="B33" s="94" t="s">
        <v>1493</v>
      </c>
      <c r="C33" s="95" t="s">
        <v>1505</v>
      </c>
      <c r="D33" s="153">
        <v>1</v>
      </c>
      <c r="E33" s="97">
        <v>2.7</v>
      </c>
      <c r="F33" s="97">
        <v>6.6</v>
      </c>
      <c r="G33" s="97">
        <v>2.8</v>
      </c>
      <c r="H33" s="97">
        <f>P3+J1</f>
        <v>2.4899999999999998</v>
      </c>
      <c r="I33" s="229"/>
      <c r="J33" s="231"/>
      <c r="K33" s="231">
        <v>6.6</v>
      </c>
      <c r="L33" s="19" t="s">
        <v>1854</v>
      </c>
      <c r="M33" s="110">
        <f t="shared" si="4"/>
        <v>15.989999999999997</v>
      </c>
      <c r="N33" s="94"/>
      <c r="O33" s="110"/>
      <c r="P33" s="232" t="s">
        <v>1855</v>
      </c>
      <c r="Q33" s="110">
        <f t="shared" si="0"/>
        <v>2.7</v>
      </c>
      <c r="R33" s="235" t="s">
        <v>1857</v>
      </c>
      <c r="S33" s="110">
        <f t="shared" si="1"/>
        <v>2.7</v>
      </c>
      <c r="T33" s="232" t="str">
        <f t="shared" si="3"/>
        <v>Porcelanato</v>
      </c>
      <c r="U33" s="247"/>
    </row>
    <row r="34" spans="2:21" ht="18" customHeight="1">
      <c r="B34" s="94" t="s">
        <v>1493</v>
      </c>
      <c r="C34" s="95" t="s">
        <v>1506</v>
      </c>
      <c r="D34" s="153">
        <v>1</v>
      </c>
      <c r="E34" s="97">
        <v>10.45</v>
      </c>
      <c r="F34" s="97">
        <v>6.85</v>
      </c>
      <c r="G34" s="97">
        <v>2.8</v>
      </c>
      <c r="H34" s="97">
        <f>P3+P3+J1+(2.62*2.8)</f>
        <v>11.715999999999999</v>
      </c>
      <c r="I34" s="229"/>
      <c r="J34" s="231"/>
      <c r="K34" s="231">
        <f>Q3+Q3+Q2+2.42</f>
        <v>5.0199999999999996</v>
      </c>
      <c r="L34" s="94" t="s">
        <v>1855</v>
      </c>
      <c r="M34" s="110">
        <f t="shared" si="4"/>
        <v>7.4639999999999969</v>
      </c>
      <c r="N34" s="94"/>
      <c r="O34" s="110"/>
      <c r="P34" s="235" t="s">
        <v>1855</v>
      </c>
      <c r="Q34" s="110">
        <f t="shared" si="0"/>
        <v>10.45</v>
      </c>
      <c r="R34" s="232" t="s">
        <v>1857</v>
      </c>
      <c r="S34" s="110">
        <f t="shared" si="1"/>
        <v>10.45</v>
      </c>
      <c r="T34" s="232" t="str">
        <f t="shared" si="3"/>
        <v>Porcelanato</v>
      </c>
      <c r="U34" s="247">
        <f>(F34-K34)*D34</f>
        <v>1.83</v>
      </c>
    </row>
    <row r="35" spans="2:21" ht="18" customHeight="1">
      <c r="B35" s="94" t="s">
        <v>1493</v>
      </c>
      <c r="C35" s="95" t="s">
        <v>1507</v>
      </c>
      <c r="D35" s="153">
        <v>1</v>
      </c>
      <c r="E35" s="97">
        <v>2.85</v>
      </c>
      <c r="F35" s="97">
        <v>6.85</v>
      </c>
      <c r="G35" s="97">
        <v>2.8</v>
      </c>
      <c r="H35" s="97">
        <f>P2+J1</f>
        <v>2.2799999999999998</v>
      </c>
      <c r="I35" s="229"/>
      <c r="J35" s="231"/>
      <c r="K35" s="231">
        <v>6.85</v>
      </c>
      <c r="L35" s="94" t="s">
        <v>1858</v>
      </c>
      <c r="M35" s="110">
        <f t="shared" si="4"/>
        <v>16.899999999999995</v>
      </c>
      <c r="N35" s="94"/>
      <c r="O35" s="110"/>
      <c r="P35" s="235" t="s">
        <v>1855</v>
      </c>
      <c r="Q35" s="110">
        <f t="shared" si="0"/>
        <v>2.85</v>
      </c>
      <c r="R35" s="232" t="s">
        <v>1857</v>
      </c>
      <c r="S35" s="110">
        <f t="shared" si="1"/>
        <v>2.85</v>
      </c>
      <c r="T35" s="232" t="str">
        <f t="shared" si="3"/>
        <v>Porcelanato</v>
      </c>
      <c r="U35" s="247"/>
    </row>
    <row r="36" spans="2:21" ht="18" customHeight="1">
      <c r="B36" s="94" t="s">
        <v>1493</v>
      </c>
      <c r="C36" s="95" t="s">
        <v>1508</v>
      </c>
      <c r="D36" s="153">
        <v>1</v>
      </c>
      <c r="E36" s="97">
        <v>125.72</v>
      </c>
      <c r="F36" s="97">
        <v>48.53</v>
      </c>
      <c r="G36" s="97">
        <v>2.8</v>
      </c>
      <c r="H36" s="97">
        <v>56.624000000000002</v>
      </c>
      <c r="I36" s="229"/>
      <c r="J36" s="231"/>
      <c r="K36" s="231">
        <f>Q8+Q3+7.56+5.42</f>
        <v>17.880000000000003</v>
      </c>
      <c r="L36" s="19" t="s">
        <v>1854</v>
      </c>
      <c r="M36" s="110">
        <f>((F36*G36-H36)*D36)/2</f>
        <v>39.629999999999995</v>
      </c>
      <c r="N36" s="19" t="s">
        <v>1855</v>
      </c>
      <c r="O36" s="110">
        <f>M36</f>
        <v>39.629999999999995</v>
      </c>
      <c r="P36" s="235" t="s">
        <v>1855</v>
      </c>
      <c r="Q36" s="110">
        <f t="shared" si="0"/>
        <v>125.72</v>
      </c>
      <c r="R36" s="232" t="s">
        <v>1856</v>
      </c>
      <c r="S36" s="110">
        <f t="shared" si="1"/>
        <v>125.72</v>
      </c>
      <c r="T36" s="232" t="str">
        <f t="shared" si="3"/>
        <v>Granito</v>
      </c>
      <c r="U36" s="247">
        <f t="shared" ref="U36:U75" si="5">(F36-K36)*D36</f>
        <v>30.65</v>
      </c>
    </row>
    <row r="37" spans="2:21" ht="18" customHeight="1">
      <c r="B37" s="94" t="s">
        <v>1493</v>
      </c>
      <c r="C37" s="95" t="s">
        <v>1509</v>
      </c>
      <c r="D37" s="218">
        <v>1</v>
      </c>
      <c r="E37" s="97">
        <v>41.7</v>
      </c>
      <c r="F37" s="97">
        <v>36.409999999999997</v>
      </c>
      <c r="G37" s="97">
        <v>3.1</v>
      </c>
      <c r="H37" s="97">
        <f>J10+J5+P5+(1*2.1)+J11+J9</f>
        <v>13.639999999999999</v>
      </c>
      <c r="I37" s="229"/>
      <c r="J37" s="231"/>
      <c r="K37" s="231">
        <v>36.409999999999997</v>
      </c>
      <c r="L37" s="94" t="s">
        <v>1858</v>
      </c>
      <c r="M37" s="110">
        <f t="shared" ref="M37:M47" si="6">(F37*G37-H37)*D37</f>
        <v>99.230999999999995</v>
      </c>
      <c r="N37" s="19"/>
      <c r="O37" s="110"/>
      <c r="P37" s="235" t="s">
        <v>1855</v>
      </c>
      <c r="Q37" s="110">
        <f t="shared" si="0"/>
        <v>41.7</v>
      </c>
      <c r="R37" s="232" t="s">
        <v>1857</v>
      </c>
      <c r="S37" s="110">
        <f t="shared" si="1"/>
        <v>41.7</v>
      </c>
      <c r="T37" s="232" t="str">
        <f t="shared" si="3"/>
        <v>Porcelanato</v>
      </c>
      <c r="U37" s="247">
        <f t="shared" si="5"/>
        <v>0</v>
      </c>
    </row>
    <row r="38" spans="2:21" ht="18" customHeight="1">
      <c r="B38" s="94" t="s">
        <v>1493</v>
      </c>
      <c r="C38" s="95" t="s">
        <v>1510</v>
      </c>
      <c r="D38" s="218">
        <v>1</v>
      </c>
      <c r="E38" s="97">
        <v>6.51</v>
      </c>
      <c r="F38" s="97">
        <v>10.41</v>
      </c>
      <c r="G38" s="97">
        <v>3.1</v>
      </c>
      <c r="H38" s="97">
        <f>P3+J2</f>
        <v>2.69</v>
      </c>
      <c r="I38" s="229"/>
      <c r="J38" s="231"/>
      <c r="K38" s="231">
        <v>10.41</v>
      </c>
      <c r="L38" s="94" t="s">
        <v>1858</v>
      </c>
      <c r="M38" s="110">
        <f t="shared" si="6"/>
        <v>29.581</v>
      </c>
      <c r="N38" s="19"/>
      <c r="O38" s="110"/>
      <c r="P38" s="232" t="s">
        <v>1855</v>
      </c>
      <c r="Q38" s="110">
        <f t="shared" si="0"/>
        <v>6.51</v>
      </c>
      <c r="R38" s="232" t="s">
        <v>1857</v>
      </c>
      <c r="S38" s="110">
        <f t="shared" si="1"/>
        <v>6.51</v>
      </c>
      <c r="T38" s="232" t="str">
        <f t="shared" si="3"/>
        <v>Porcelanato</v>
      </c>
      <c r="U38" s="247">
        <f t="shared" si="5"/>
        <v>0</v>
      </c>
    </row>
    <row r="39" spans="2:21" ht="18" customHeight="1">
      <c r="B39" s="94" t="s">
        <v>1493</v>
      </c>
      <c r="C39" s="95" t="s">
        <v>1511</v>
      </c>
      <c r="D39" s="218">
        <v>1</v>
      </c>
      <c r="E39" s="97">
        <v>16.45</v>
      </c>
      <c r="F39" s="97">
        <v>16.77</v>
      </c>
      <c r="G39" s="97">
        <v>3.1</v>
      </c>
      <c r="H39" s="97">
        <f>P3+J2+C6+(5.31*2.5)</f>
        <v>19.114999999999998</v>
      </c>
      <c r="I39" s="229">
        <v>8.89</v>
      </c>
      <c r="J39" s="230"/>
      <c r="K39" s="231">
        <v>16.77</v>
      </c>
      <c r="L39" s="94" t="s">
        <v>1858</v>
      </c>
      <c r="M39" s="110">
        <f t="shared" si="6"/>
        <v>32.872</v>
      </c>
      <c r="N39" s="19"/>
      <c r="O39" s="110"/>
      <c r="P39" s="235" t="s">
        <v>1860</v>
      </c>
      <c r="Q39" s="110">
        <f t="shared" si="0"/>
        <v>7.5599999999999987</v>
      </c>
      <c r="R39" s="235" t="s">
        <v>1857</v>
      </c>
      <c r="S39" s="110">
        <f t="shared" si="1"/>
        <v>16.45</v>
      </c>
      <c r="T39" s="232" t="str">
        <f t="shared" si="3"/>
        <v>Porcelanato</v>
      </c>
      <c r="U39" s="247">
        <f t="shared" si="5"/>
        <v>0</v>
      </c>
    </row>
    <row r="40" spans="2:21" ht="18" customHeight="1">
      <c r="B40" s="94" t="s">
        <v>1493</v>
      </c>
      <c r="C40" s="95" t="s">
        <v>1512</v>
      </c>
      <c r="D40" s="218">
        <v>1</v>
      </c>
      <c r="E40" s="97">
        <v>10.02</v>
      </c>
      <c r="F40" s="97">
        <v>13.17</v>
      </c>
      <c r="G40" s="97">
        <v>3.1</v>
      </c>
      <c r="H40" s="97">
        <v>9.57</v>
      </c>
      <c r="I40" s="229"/>
      <c r="J40" s="230"/>
      <c r="K40" s="231"/>
      <c r="L40" s="19" t="s">
        <v>1855</v>
      </c>
      <c r="M40" s="110">
        <f t="shared" si="6"/>
        <v>31.256999999999998</v>
      </c>
      <c r="N40" s="19"/>
      <c r="O40" s="110"/>
      <c r="P40" s="236" t="s">
        <v>1855</v>
      </c>
      <c r="Q40" s="110">
        <f t="shared" si="0"/>
        <v>10.02</v>
      </c>
      <c r="R40" s="232" t="s">
        <v>1857</v>
      </c>
      <c r="S40" s="110">
        <f t="shared" si="1"/>
        <v>10.02</v>
      </c>
      <c r="T40" s="232" t="str">
        <f t="shared" si="3"/>
        <v>Porcelanato</v>
      </c>
      <c r="U40" s="247">
        <f t="shared" si="5"/>
        <v>13.17</v>
      </c>
    </row>
    <row r="41" spans="2:21" ht="18" customHeight="1">
      <c r="B41" s="94" t="s">
        <v>1493</v>
      </c>
      <c r="C41" s="95" t="s">
        <v>1513</v>
      </c>
      <c r="D41" s="153">
        <v>1</v>
      </c>
      <c r="E41" s="97">
        <v>4.3600000000000003</v>
      </c>
      <c r="F41" s="97">
        <v>8.39</v>
      </c>
      <c r="G41" s="97">
        <v>3.1</v>
      </c>
      <c r="H41" s="97">
        <f>P3+(1*2.1)</f>
        <v>3.99</v>
      </c>
      <c r="I41" s="229"/>
      <c r="J41" s="230"/>
      <c r="K41" s="231">
        <v>8.39</v>
      </c>
      <c r="L41" s="94" t="s">
        <v>1858</v>
      </c>
      <c r="M41" s="110">
        <f t="shared" si="6"/>
        <v>22.019000000000005</v>
      </c>
      <c r="N41" s="19"/>
      <c r="O41" s="110"/>
      <c r="P41" s="236" t="s">
        <v>1855</v>
      </c>
      <c r="Q41" s="110">
        <f t="shared" si="0"/>
        <v>4.3600000000000003</v>
      </c>
      <c r="R41" s="232" t="s">
        <v>1857</v>
      </c>
      <c r="S41" s="110">
        <f t="shared" si="1"/>
        <v>4.3600000000000003</v>
      </c>
      <c r="T41" s="232" t="str">
        <f t="shared" si="3"/>
        <v>Porcelanato</v>
      </c>
      <c r="U41" s="247">
        <f t="shared" si="5"/>
        <v>0</v>
      </c>
    </row>
    <row r="42" spans="2:21" ht="18" customHeight="1">
      <c r="B42" s="94" t="s">
        <v>1493</v>
      </c>
      <c r="C42" s="95" t="s">
        <v>1499</v>
      </c>
      <c r="D42" s="153">
        <v>1</v>
      </c>
      <c r="E42" s="99">
        <v>7.21</v>
      </c>
      <c r="F42" s="99">
        <v>15.8</v>
      </c>
      <c r="G42" s="99">
        <v>3.1</v>
      </c>
      <c r="H42" s="99">
        <v>14.23</v>
      </c>
      <c r="I42" s="229"/>
      <c r="J42" s="230"/>
      <c r="K42" s="231">
        <f>1+Q3+Q3+Q3+Q2+Q2+1</f>
        <v>6.3</v>
      </c>
      <c r="L42" s="94" t="s">
        <v>1855</v>
      </c>
      <c r="M42" s="110">
        <f t="shared" si="6"/>
        <v>34.75</v>
      </c>
      <c r="N42" s="19"/>
      <c r="O42" s="110"/>
      <c r="P42" s="236" t="s">
        <v>1855</v>
      </c>
      <c r="Q42" s="110">
        <f t="shared" si="0"/>
        <v>7.21</v>
      </c>
      <c r="R42" s="232" t="s">
        <v>1856</v>
      </c>
      <c r="S42" s="110">
        <f t="shared" si="1"/>
        <v>7.21</v>
      </c>
      <c r="T42" s="232" t="str">
        <f t="shared" si="3"/>
        <v>Granito</v>
      </c>
      <c r="U42" s="247">
        <f t="shared" si="5"/>
        <v>9.5</v>
      </c>
    </row>
    <row r="43" spans="2:21" ht="18" customHeight="1">
      <c r="B43" s="94" t="s">
        <v>1493</v>
      </c>
      <c r="C43" s="95" t="s">
        <v>1514</v>
      </c>
      <c r="D43" s="153">
        <v>1</v>
      </c>
      <c r="E43" s="97">
        <v>8.9</v>
      </c>
      <c r="F43" s="97">
        <v>12.03</v>
      </c>
      <c r="G43" s="97">
        <v>3.1</v>
      </c>
      <c r="H43" s="97">
        <f>P3+J11+J4</f>
        <v>5.9399999999999995</v>
      </c>
      <c r="I43" s="229"/>
      <c r="J43" s="230"/>
      <c r="K43" s="231">
        <v>12.03</v>
      </c>
      <c r="L43" s="94" t="s">
        <v>1858</v>
      </c>
      <c r="M43" s="110">
        <f t="shared" si="6"/>
        <v>31.353000000000002</v>
      </c>
      <c r="N43" s="19"/>
      <c r="O43" s="110"/>
      <c r="P43" s="236" t="s">
        <v>1855</v>
      </c>
      <c r="Q43" s="110">
        <f t="shared" si="0"/>
        <v>8.9</v>
      </c>
      <c r="R43" s="232" t="s">
        <v>1857</v>
      </c>
      <c r="S43" s="110">
        <f t="shared" si="1"/>
        <v>8.9</v>
      </c>
      <c r="T43" s="232" t="str">
        <f t="shared" si="3"/>
        <v>Porcelanato</v>
      </c>
      <c r="U43" s="247">
        <f t="shared" si="5"/>
        <v>0</v>
      </c>
    </row>
    <row r="44" spans="2:21" ht="18" customHeight="1">
      <c r="B44" s="94" t="s">
        <v>1493</v>
      </c>
      <c r="C44" s="95" t="s">
        <v>1515</v>
      </c>
      <c r="D44" s="153">
        <v>1</v>
      </c>
      <c r="E44" s="97">
        <v>5.42</v>
      </c>
      <c r="F44" s="97">
        <v>10.119999999999999</v>
      </c>
      <c r="G44" s="97">
        <v>3.1</v>
      </c>
      <c r="H44" s="97">
        <f>P3</f>
        <v>1.89</v>
      </c>
      <c r="I44" s="229"/>
      <c r="J44" s="230"/>
      <c r="K44" s="231">
        <v>10.119999999999999</v>
      </c>
      <c r="L44" s="94" t="s">
        <v>1858</v>
      </c>
      <c r="M44" s="110">
        <f t="shared" si="6"/>
        <v>29.481999999999999</v>
      </c>
      <c r="N44" s="19"/>
      <c r="O44" s="110"/>
      <c r="P44" s="236" t="s">
        <v>1855</v>
      </c>
      <c r="Q44" s="110">
        <f t="shared" si="0"/>
        <v>5.42</v>
      </c>
      <c r="R44" s="232" t="s">
        <v>1857</v>
      </c>
      <c r="S44" s="110">
        <f t="shared" si="1"/>
        <v>5.42</v>
      </c>
      <c r="T44" s="232" t="str">
        <f t="shared" si="3"/>
        <v>Porcelanato</v>
      </c>
      <c r="U44" s="247">
        <f t="shared" si="5"/>
        <v>0</v>
      </c>
    </row>
    <row r="45" spans="2:21" ht="18" customHeight="1">
      <c r="B45" s="94" t="s">
        <v>1493</v>
      </c>
      <c r="C45" s="95" t="s">
        <v>1516</v>
      </c>
      <c r="D45" s="153">
        <v>1</v>
      </c>
      <c r="E45" s="97">
        <v>7.33</v>
      </c>
      <c r="F45" s="97">
        <v>10.83</v>
      </c>
      <c r="G45" s="97">
        <v>3.1</v>
      </c>
      <c r="H45" s="97">
        <f>P3+J4+J9</f>
        <v>5.6899999999999995</v>
      </c>
      <c r="I45" s="229"/>
      <c r="J45" s="230"/>
      <c r="K45" s="231">
        <v>10.83</v>
      </c>
      <c r="L45" s="94" t="s">
        <v>1858</v>
      </c>
      <c r="M45" s="110">
        <f t="shared" si="6"/>
        <v>27.883000000000003</v>
      </c>
      <c r="N45" s="19"/>
      <c r="O45" s="110"/>
      <c r="P45" s="236" t="s">
        <v>1855</v>
      </c>
      <c r="Q45" s="110">
        <f t="shared" si="0"/>
        <v>7.33</v>
      </c>
      <c r="R45" s="232" t="s">
        <v>1857</v>
      </c>
      <c r="S45" s="110">
        <f t="shared" si="1"/>
        <v>7.33</v>
      </c>
      <c r="T45" s="232" t="str">
        <f t="shared" si="3"/>
        <v>Porcelanato</v>
      </c>
      <c r="U45" s="247">
        <f t="shared" si="5"/>
        <v>0</v>
      </c>
    </row>
    <row r="46" spans="2:21" ht="18" customHeight="1">
      <c r="B46" s="94" t="s">
        <v>1493</v>
      </c>
      <c r="C46" s="95" t="s">
        <v>1517</v>
      </c>
      <c r="D46" s="153">
        <v>1</v>
      </c>
      <c r="E46" s="97">
        <v>3.12</v>
      </c>
      <c r="F46" s="97">
        <v>7.2</v>
      </c>
      <c r="G46" s="97">
        <v>2.8</v>
      </c>
      <c r="H46" s="97">
        <f>P2</f>
        <v>1.68</v>
      </c>
      <c r="I46" s="229"/>
      <c r="J46" s="230"/>
      <c r="K46" s="231">
        <v>7.2</v>
      </c>
      <c r="L46" s="94" t="s">
        <v>1858</v>
      </c>
      <c r="M46" s="110">
        <f t="shared" si="6"/>
        <v>18.48</v>
      </c>
      <c r="N46" s="19"/>
      <c r="O46" s="110"/>
      <c r="P46" s="236" t="s">
        <v>1855</v>
      </c>
      <c r="Q46" s="110">
        <f t="shared" si="0"/>
        <v>3.12</v>
      </c>
      <c r="R46" s="232" t="s">
        <v>1857</v>
      </c>
      <c r="S46" s="110">
        <f t="shared" si="1"/>
        <v>3.12</v>
      </c>
      <c r="T46" s="232" t="str">
        <f t="shared" si="3"/>
        <v>Porcelanato</v>
      </c>
      <c r="U46" s="247">
        <f t="shared" si="5"/>
        <v>0</v>
      </c>
    </row>
    <row r="47" spans="2:21" ht="18" customHeight="1">
      <c r="B47" s="100" t="s">
        <v>1493</v>
      </c>
      <c r="C47" s="101" t="s">
        <v>1518</v>
      </c>
      <c r="D47" s="219">
        <v>1</v>
      </c>
      <c r="E47" s="102">
        <v>3.12</v>
      </c>
      <c r="F47" s="102">
        <v>7.2</v>
      </c>
      <c r="G47" s="102">
        <v>2.8</v>
      </c>
      <c r="H47" s="102">
        <f>P2</f>
        <v>1.68</v>
      </c>
      <c r="I47" s="237"/>
      <c r="J47" s="231"/>
      <c r="K47" s="231">
        <v>7.2</v>
      </c>
      <c r="L47" s="94" t="s">
        <v>1858</v>
      </c>
      <c r="M47" s="234">
        <f t="shared" si="6"/>
        <v>18.48</v>
      </c>
      <c r="N47" s="94"/>
      <c r="O47" s="234"/>
      <c r="P47" s="236" t="s">
        <v>1855</v>
      </c>
      <c r="Q47" s="110">
        <f t="shared" si="0"/>
        <v>3.12</v>
      </c>
      <c r="R47" s="232" t="s">
        <v>1857</v>
      </c>
      <c r="S47" s="110">
        <f t="shared" si="1"/>
        <v>3.12</v>
      </c>
      <c r="T47" s="232" t="str">
        <f t="shared" si="3"/>
        <v>Porcelanato</v>
      </c>
      <c r="U47" s="247">
        <f t="shared" si="5"/>
        <v>0</v>
      </c>
    </row>
    <row r="48" spans="2:21" ht="18" customHeight="1">
      <c r="B48" s="119" t="s">
        <v>1493</v>
      </c>
      <c r="C48" s="120" t="s">
        <v>1519</v>
      </c>
      <c r="D48" s="220">
        <v>1</v>
      </c>
      <c r="E48" s="121">
        <v>38.979999999999997</v>
      </c>
      <c r="F48" s="121">
        <v>25</v>
      </c>
      <c r="G48" s="121">
        <v>3</v>
      </c>
      <c r="H48" s="121">
        <f>P5+P8+J12+J12+P3</f>
        <v>18.37</v>
      </c>
      <c r="I48" s="238"/>
      <c r="J48" s="231"/>
      <c r="K48" s="231">
        <v>25</v>
      </c>
      <c r="L48" s="19" t="s">
        <v>1854</v>
      </c>
      <c r="M48" s="110">
        <f>(F48*G48-H48)*D48/2</f>
        <v>28.314999999999998</v>
      </c>
      <c r="N48" s="94" t="s">
        <v>1855</v>
      </c>
      <c r="O48" s="110">
        <f>M48</f>
        <v>28.314999999999998</v>
      </c>
      <c r="P48" s="236" t="s">
        <v>1855</v>
      </c>
      <c r="Q48" s="110">
        <f t="shared" si="0"/>
        <v>38.979999999999997</v>
      </c>
      <c r="R48" s="232" t="s">
        <v>1857</v>
      </c>
      <c r="S48" s="110">
        <f t="shared" si="1"/>
        <v>38.979999999999997</v>
      </c>
      <c r="T48" s="232" t="str">
        <f t="shared" si="3"/>
        <v>Porcelanato</v>
      </c>
      <c r="U48" s="247">
        <f t="shared" si="5"/>
        <v>0</v>
      </c>
    </row>
    <row r="49" spans="2:21" ht="18" customHeight="1">
      <c r="B49" s="94" t="s">
        <v>1493</v>
      </c>
      <c r="C49" s="95" t="s">
        <v>1520</v>
      </c>
      <c r="D49" s="218">
        <v>1</v>
      </c>
      <c r="E49" s="97">
        <v>16.61</v>
      </c>
      <c r="F49" s="97">
        <v>21.94</v>
      </c>
      <c r="G49" s="97">
        <v>2.61</v>
      </c>
      <c r="H49" s="97">
        <f>P3+P3+J7+J7</f>
        <v>6.18</v>
      </c>
      <c r="I49" s="229"/>
      <c r="J49" s="231"/>
      <c r="K49" s="231">
        <v>21.94</v>
      </c>
      <c r="L49" s="19" t="s">
        <v>1854</v>
      </c>
      <c r="M49" s="110">
        <f>(F49*G49-H49)*D49/2</f>
        <v>25.541699999999999</v>
      </c>
      <c r="N49" s="94" t="s">
        <v>1855</v>
      </c>
      <c r="O49" s="110">
        <f>M49</f>
        <v>25.541699999999999</v>
      </c>
      <c r="P49" s="236" t="s">
        <v>1855</v>
      </c>
      <c r="Q49" s="110">
        <f t="shared" si="0"/>
        <v>16.61</v>
      </c>
      <c r="R49" s="232" t="s">
        <v>1857</v>
      </c>
      <c r="S49" s="110">
        <f t="shared" si="1"/>
        <v>16.61</v>
      </c>
      <c r="T49" s="232" t="str">
        <f t="shared" si="3"/>
        <v>Porcelanato</v>
      </c>
      <c r="U49" s="247">
        <f t="shared" si="5"/>
        <v>0</v>
      </c>
    </row>
    <row r="50" spans="2:21" ht="18" customHeight="1">
      <c r="B50" s="94" t="s">
        <v>1493</v>
      </c>
      <c r="C50" s="95" t="s">
        <v>1519</v>
      </c>
      <c r="D50" s="153">
        <v>1</v>
      </c>
      <c r="E50" s="97">
        <v>38.979999999999997</v>
      </c>
      <c r="F50" s="97">
        <v>25</v>
      </c>
      <c r="G50" s="97">
        <v>3</v>
      </c>
      <c r="H50" s="97">
        <f>P5+P3+J12+J12+P8</f>
        <v>18.37</v>
      </c>
      <c r="I50" s="229"/>
      <c r="J50" s="231"/>
      <c r="K50" s="231">
        <v>25</v>
      </c>
      <c r="L50" s="19" t="s">
        <v>1854</v>
      </c>
      <c r="M50" s="110">
        <f>(F50*G50-H50)*D50/2</f>
        <v>28.314999999999998</v>
      </c>
      <c r="N50" s="94" t="s">
        <v>1855</v>
      </c>
      <c r="O50" s="110">
        <f>M50</f>
        <v>28.314999999999998</v>
      </c>
      <c r="P50" s="236" t="s">
        <v>1855</v>
      </c>
      <c r="Q50" s="110">
        <f t="shared" si="0"/>
        <v>38.979999999999997</v>
      </c>
      <c r="R50" s="232" t="s">
        <v>1857</v>
      </c>
      <c r="S50" s="110">
        <f t="shared" si="1"/>
        <v>38.979999999999997</v>
      </c>
      <c r="T50" s="232" t="str">
        <f t="shared" si="3"/>
        <v>Porcelanato</v>
      </c>
      <c r="U50" s="247">
        <f t="shared" si="5"/>
        <v>0</v>
      </c>
    </row>
    <row r="51" spans="2:21" ht="18" customHeight="1">
      <c r="B51" s="94" t="s">
        <v>1493</v>
      </c>
      <c r="C51" s="95" t="s">
        <v>1521</v>
      </c>
      <c r="D51" s="153">
        <v>1</v>
      </c>
      <c r="E51" s="97">
        <v>38.67</v>
      </c>
      <c r="F51" s="97">
        <v>24.88</v>
      </c>
      <c r="G51" s="97">
        <v>3</v>
      </c>
      <c r="H51" s="97">
        <f>P5+J12+J12+P8</f>
        <v>16.48</v>
      </c>
      <c r="I51" s="229"/>
      <c r="J51" s="231"/>
      <c r="K51" s="231">
        <v>24.88</v>
      </c>
      <c r="L51" s="19" t="s">
        <v>1854</v>
      </c>
      <c r="M51" s="110">
        <f>(F51*G51-H51)*D51/2</f>
        <v>29.08</v>
      </c>
      <c r="N51" s="94" t="s">
        <v>1855</v>
      </c>
      <c r="O51" s="110">
        <f>M51</f>
        <v>29.08</v>
      </c>
      <c r="P51" s="236" t="s">
        <v>1855</v>
      </c>
      <c r="Q51" s="110">
        <f t="shared" si="0"/>
        <v>38.67</v>
      </c>
      <c r="R51" s="232" t="s">
        <v>1857</v>
      </c>
      <c r="S51" s="110">
        <f t="shared" si="1"/>
        <v>38.67</v>
      </c>
      <c r="T51" s="232" t="str">
        <f t="shared" si="3"/>
        <v>Porcelanato</v>
      </c>
      <c r="U51" s="247">
        <f t="shared" si="5"/>
        <v>0</v>
      </c>
    </row>
    <row r="52" spans="2:21" ht="18" customHeight="1">
      <c r="B52" s="94" t="s">
        <v>1493</v>
      </c>
      <c r="C52" s="95" t="s">
        <v>1522</v>
      </c>
      <c r="D52" s="153">
        <v>1</v>
      </c>
      <c r="E52" s="99">
        <v>18.72</v>
      </c>
      <c r="F52" s="99">
        <v>19.2</v>
      </c>
      <c r="G52" s="99">
        <v>2.61</v>
      </c>
      <c r="H52" s="99">
        <f>P3+J7+J7</f>
        <v>4.29</v>
      </c>
      <c r="I52" s="229"/>
      <c r="J52" s="231"/>
      <c r="K52" s="231">
        <v>19.2</v>
      </c>
      <c r="L52" s="19" t="s">
        <v>1854</v>
      </c>
      <c r="M52" s="110">
        <f>(F52*G52-H52)*D52</f>
        <v>45.821999999999996</v>
      </c>
      <c r="N52" s="94"/>
      <c r="O52" s="110"/>
      <c r="P52" s="236" t="s">
        <v>1855</v>
      </c>
      <c r="Q52" s="110">
        <f t="shared" si="0"/>
        <v>18.72</v>
      </c>
      <c r="R52" s="232" t="s">
        <v>1857</v>
      </c>
      <c r="S52" s="110">
        <f t="shared" si="1"/>
        <v>18.72</v>
      </c>
      <c r="T52" s="232" t="str">
        <f t="shared" si="3"/>
        <v>Porcelanato</v>
      </c>
      <c r="U52" s="247">
        <f t="shared" si="5"/>
        <v>0</v>
      </c>
    </row>
    <row r="53" spans="2:21" ht="18" customHeight="1">
      <c r="B53" s="94" t="s">
        <v>1493</v>
      </c>
      <c r="C53" s="95" t="s">
        <v>1523</v>
      </c>
      <c r="D53" s="153">
        <v>1</v>
      </c>
      <c r="E53" s="97">
        <v>38.1</v>
      </c>
      <c r="F53" s="97">
        <v>24.7</v>
      </c>
      <c r="G53" s="97">
        <v>3</v>
      </c>
      <c r="H53" s="97">
        <f>P5+P8+J7+J7</f>
        <v>12.879999999999999</v>
      </c>
      <c r="I53" s="229"/>
      <c r="J53" s="231"/>
      <c r="K53" s="231">
        <v>24.7</v>
      </c>
      <c r="L53" s="19" t="s">
        <v>1854</v>
      </c>
      <c r="M53" s="110">
        <f>(F53*G53-H53)*D53/2</f>
        <v>30.61</v>
      </c>
      <c r="N53" s="94" t="s">
        <v>1855</v>
      </c>
      <c r="O53" s="110">
        <f>M53</f>
        <v>30.61</v>
      </c>
      <c r="P53" s="236" t="s">
        <v>1855</v>
      </c>
      <c r="Q53" s="110">
        <f t="shared" si="0"/>
        <v>38.1</v>
      </c>
      <c r="R53" s="232" t="s">
        <v>1857</v>
      </c>
      <c r="S53" s="110">
        <f t="shared" si="1"/>
        <v>38.1</v>
      </c>
      <c r="T53" s="232" t="str">
        <f t="shared" si="3"/>
        <v>Porcelanato</v>
      </c>
      <c r="U53" s="247">
        <f t="shared" si="5"/>
        <v>0</v>
      </c>
    </row>
    <row r="54" spans="2:21" ht="18" customHeight="1">
      <c r="B54" s="94" t="s">
        <v>1493</v>
      </c>
      <c r="C54" s="95" t="s">
        <v>1524</v>
      </c>
      <c r="D54" s="153">
        <v>1</v>
      </c>
      <c r="E54" s="97">
        <v>38.700000000000003</v>
      </c>
      <c r="F54" s="97">
        <v>24.9</v>
      </c>
      <c r="G54" s="97">
        <v>3</v>
      </c>
      <c r="H54" s="97">
        <f>P5+P3+J7+J7+P8</f>
        <v>14.77</v>
      </c>
      <c r="I54" s="229"/>
      <c r="J54" s="231"/>
      <c r="K54" s="231">
        <v>24.9</v>
      </c>
      <c r="L54" s="19" t="s">
        <v>1854</v>
      </c>
      <c r="M54" s="110">
        <f>(F54*G54-H54)*D54/2</f>
        <v>29.964999999999996</v>
      </c>
      <c r="N54" s="94" t="s">
        <v>1855</v>
      </c>
      <c r="O54" s="110">
        <f>M54</f>
        <v>29.964999999999996</v>
      </c>
      <c r="P54" s="236" t="s">
        <v>1855</v>
      </c>
      <c r="Q54" s="110">
        <f t="shared" si="0"/>
        <v>38.700000000000003</v>
      </c>
      <c r="R54" s="232" t="s">
        <v>1857</v>
      </c>
      <c r="S54" s="110">
        <f t="shared" si="1"/>
        <v>38.700000000000003</v>
      </c>
      <c r="T54" s="232" t="str">
        <f t="shared" si="3"/>
        <v>Porcelanato</v>
      </c>
      <c r="U54" s="247">
        <f t="shared" si="5"/>
        <v>0</v>
      </c>
    </row>
    <row r="55" spans="2:21" ht="18" customHeight="1">
      <c r="B55" s="94" t="s">
        <v>1493</v>
      </c>
      <c r="C55" s="95" t="s">
        <v>1525</v>
      </c>
      <c r="D55" s="153">
        <v>1</v>
      </c>
      <c r="E55" s="97">
        <v>12.87</v>
      </c>
      <c r="F55" s="97">
        <v>15.4</v>
      </c>
      <c r="G55" s="97">
        <v>2.61</v>
      </c>
      <c r="H55" s="97">
        <f>P3+P3+J3+(1*2.1)</f>
        <v>7.08</v>
      </c>
      <c r="I55" s="229"/>
      <c r="J55" s="231"/>
      <c r="K55" s="231">
        <v>15.4</v>
      </c>
      <c r="L55" s="19" t="s">
        <v>1854</v>
      </c>
      <c r="M55" s="110">
        <f>(F55*G55-H55)*D55</f>
        <v>33.113999999999997</v>
      </c>
      <c r="N55" s="94"/>
      <c r="O55" s="110"/>
      <c r="P55" s="236" t="s">
        <v>1855</v>
      </c>
      <c r="Q55" s="110">
        <f t="shared" si="0"/>
        <v>12.87</v>
      </c>
      <c r="R55" s="232" t="s">
        <v>1857</v>
      </c>
      <c r="S55" s="110">
        <f t="shared" si="1"/>
        <v>12.87</v>
      </c>
      <c r="T55" s="232" t="str">
        <f t="shared" si="3"/>
        <v>Porcelanato</v>
      </c>
      <c r="U55" s="247">
        <f t="shared" si="5"/>
        <v>0</v>
      </c>
    </row>
    <row r="56" spans="2:21" ht="18" customHeight="1">
      <c r="B56" s="94" t="s">
        <v>1493</v>
      </c>
      <c r="C56" s="95" t="s">
        <v>1526</v>
      </c>
      <c r="D56" s="153">
        <v>1</v>
      </c>
      <c r="E56" s="97">
        <v>3.77</v>
      </c>
      <c r="F56" s="97">
        <v>8.1</v>
      </c>
      <c r="G56" s="97">
        <v>3</v>
      </c>
      <c r="H56" s="97">
        <f>(1*2.1)+J7</f>
        <v>3.3</v>
      </c>
      <c r="I56" s="229"/>
      <c r="J56" s="230"/>
      <c r="K56" s="231">
        <v>8.1</v>
      </c>
      <c r="L56" s="19" t="s">
        <v>1854</v>
      </c>
      <c r="M56" s="110">
        <f>(F56*G56-H56)*D56</f>
        <v>20.999999999999996</v>
      </c>
      <c r="N56" s="94"/>
      <c r="O56" s="110"/>
      <c r="P56" s="236" t="s">
        <v>1855</v>
      </c>
      <c r="Q56" s="110">
        <f t="shared" ref="Q56:Q75" si="7">(E56-I56)*D56</f>
        <v>3.77</v>
      </c>
      <c r="R56" s="232" t="s">
        <v>1857</v>
      </c>
      <c r="S56" s="110">
        <f t="shared" ref="S56:S75" si="8">(E56-J56)*D56</f>
        <v>3.77</v>
      </c>
      <c r="T56" s="232" t="str">
        <f t="shared" si="3"/>
        <v>Porcelanato</v>
      </c>
      <c r="U56" s="247">
        <f t="shared" si="5"/>
        <v>0</v>
      </c>
    </row>
    <row r="57" spans="2:21" ht="18" customHeight="1">
      <c r="B57" s="94" t="s">
        <v>1493</v>
      </c>
      <c r="C57" s="95" t="s">
        <v>1524</v>
      </c>
      <c r="D57" s="153">
        <v>1</v>
      </c>
      <c r="E57" s="97">
        <v>38.700000000000003</v>
      </c>
      <c r="F57" s="97">
        <v>24.9</v>
      </c>
      <c r="G57" s="97">
        <v>3</v>
      </c>
      <c r="H57" s="97">
        <f>P5+P3+P8+J12+J12</f>
        <v>18.37</v>
      </c>
      <c r="I57" s="229"/>
      <c r="J57" s="230"/>
      <c r="K57" s="231">
        <v>24.9</v>
      </c>
      <c r="L57" s="19" t="s">
        <v>1854</v>
      </c>
      <c r="M57" s="234">
        <f>(F57*G57-H57)*D57/2</f>
        <v>28.164999999999992</v>
      </c>
      <c r="N57" s="94" t="s">
        <v>1855</v>
      </c>
      <c r="O57" s="234">
        <f>M57</f>
        <v>28.164999999999992</v>
      </c>
      <c r="P57" s="236" t="s">
        <v>1855</v>
      </c>
      <c r="Q57" s="110">
        <f t="shared" si="7"/>
        <v>38.700000000000003</v>
      </c>
      <c r="R57" s="232" t="s">
        <v>1857</v>
      </c>
      <c r="S57" s="110">
        <f t="shared" si="8"/>
        <v>38.700000000000003</v>
      </c>
      <c r="T57" s="232" t="str">
        <f t="shared" si="3"/>
        <v>Porcelanato</v>
      </c>
      <c r="U57" s="247">
        <f t="shared" si="5"/>
        <v>0</v>
      </c>
    </row>
    <row r="58" spans="2:21" ht="18" customHeight="1">
      <c r="B58" s="94" t="s">
        <v>1493</v>
      </c>
      <c r="C58" s="95" t="s">
        <v>1861</v>
      </c>
      <c r="D58" s="153">
        <v>1</v>
      </c>
      <c r="E58" s="97">
        <v>8.27</v>
      </c>
      <c r="F58" s="97">
        <v>11.59</v>
      </c>
      <c r="G58" s="97">
        <v>2.8</v>
      </c>
      <c r="H58" s="97">
        <f>P3+J7</f>
        <v>3.09</v>
      </c>
      <c r="I58" s="229"/>
      <c r="J58" s="231"/>
      <c r="K58" s="231">
        <v>11.59</v>
      </c>
      <c r="L58" s="19" t="s">
        <v>1854</v>
      </c>
      <c r="M58" s="110">
        <f>(F58*G58-H58)*D58</f>
        <v>29.361999999999998</v>
      </c>
      <c r="N58" s="94"/>
      <c r="O58" s="110"/>
      <c r="P58" s="236" t="s">
        <v>1855</v>
      </c>
      <c r="Q58" s="110">
        <f t="shared" si="7"/>
        <v>8.27</v>
      </c>
      <c r="R58" s="232" t="s">
        <v>1857</v>
      </c>
      <c r="S58" s="110">
        <f t="shared" si="8"/>
        <v>8.27</v>
      </c>
      <c r="T58" s="232" t="str">
        <f t="shared" si="3"/>
        <v>Porcelanato</v>
      </c>
      <c r="U58" s="247">
        <f t="shared" si="5"/>
        <v>0</v>
      </c>
    </row>
    <row r="59" spans="2:21" ht="18" customHeight="1">
      <c r="B59" s="94" t="s">
        <v>1493</v>
      </c>
      <c r="C59" s="95" t="s">
        <v>1528</v>
      </c>
      <c r="D59" s="153">
        <v>1</v>
      </c>
      <c r="E59" s="97">
        <v>135.07</v>
      </c>
      <c r="F59" s="97">
        <v>108.3</v>
      </c>
      <c r="G59" s="97">
        <v>2.8</v>
      </c>
      <c r="H59" s="97">
        <f>P5+J7+P5+P6+J7+J7+P5+J7+P5+(0.9*2.1)+P5+J7+P5+J7+J7+P6+(3.28*2.8)+P6+J7+J7+P5+J7+P3+P5+P3+P5+P3+J7+P5+J7+J7+P6</f>
        <v>85.14400000000002</v>
      </c>
      <c r="I59" s="229"/>
      <c r="J59" s="231"/>
      <c r="K59" s="231">
        <v>26.89</v>
      </c>
      <c r="L59" s="19" t="s">
        <v>1854</v>
      </c>
      <c r="M59" s="110">
        <f>(F59*G59-H59)*D59/2</f>
        <v>109.04799999999997</v>
      </c>
      <c r="N59" s="94" t="s">
        <v>1855</v>
      </c>
      <c r="O59" s="110">
        <f>M59</f>
        <v>109.04799999999997</v>
      </c>
      <c r="P59" s="236" t="s">
        <v>1855</v>
      </c>
      <c r="Q59" s="110">
        <f t="shared" si="7"/>
        <v>135.07</v>
      </c>
      <c r="R59" s="232" t="s">
        <v>1856</v>
      </c>
      <c r="S59" s="110">
        <f t="shared" si="8"/>
        <v>135.07</v>
      </c>
      <c r="T59" s="232" t="str">
        <f t="shared" si="3"/>
        <v>Granito</v>
      </c>
      <c r="U59" s="247">
        <f t="shared" si="5"/>
        <v>81.41</v>
      </c>
    </row>
    <row r="60" spans="2:21" ht="18" customHeight="1">
      <c r="B60" s="94" t="s">
        <v>1493</v>
      </c>
      <c r="C60" s="95" t="s">
        <v>1529</v>
      </c>
      <c r="D60" s="153">
        <v>1</v>
      </c>
      <c r="E60" s="97">
        <v>12.63</v>
      </c>
      <c r="F60" s="97">
        <v>18.87</v>
      </c>
      <c r="G60" s="97">
        <v>2.8</v>
      </c>
      <c r="H60" s="97">
        <f>(1*2.1)+J8</f>
        <v>4.5</v>
      </c>
      <c r="I60" s="229"/>
      <c r="J60" s="231"/>
      <c r="K60" s="231">
        <v>18.87</v>
      </c>
      <c r="L60" s="94" t="s">
        <v>1858</v>
      </c>
      <c r="M60" s="234">
        <f>(F60*G60-H60)*D60</f>
        <v>48.335999999999999</v>
      </c>
      <c r="N60" s="94"/>
      <c r="O60" s="234"/>
      <c r="P60" s="236" t="s">
        <v>1855</v>
      </c>
      <c r="Q60" s="110">
        <f t="shared" si="7"/>
        <v>12.63</v>
      </c>
      <c r="R60" s="232" t="s">
        <v>1857</v>
      </c>
      <c r="S60" s="110">
        <f t="shared" si="8"/>
        <v>12.63</v>
      </c>
      <c r="T60" s="232" t="str">
        <f t="shared" si="3"/>
        <v>Porcelanato</v>
      </c>
      <c r="U60" s="247">
        <f t="shared" si="5"/>
        <v>0</v>
      </c>
    </row>
    <row r="61" spans="2:21" ht="18" customHeight="1">
      <c r="B61" s="94" t="s">
        <v>1493</v>
      </c>
      <c r="C61" s="95" t="s">
        <v>1530</v>
      </c>
      <c r="D61" s="153">
        <v>1</v>
      </c>
      <c r="E61" s="97">
        <v>39.020000000000003</v>
      </c>
      <c r="F61" s="97">
        <v>24.99</v>
      </c>
      <c r="G61" s="97">
        <v>3</v>
      </c>
      <c r="H61" s="97">
        <f>P5+J12+J12+P8</f>
        <v>16.48</v>
      </c>
      <c r="I61" s="229"/>
      <c r="J61" s="231"/>
      <c r="K61" s="231">
        <v>24.99</v>
      </c>
      <c r="L61" s="19" t="s">
        <v>1854</v>
      </c>
      <c r="M61" s="110">
        <f>(F61*G61-H61)*D61/2</f>
        <v>29.244999999999997</v>
      </c>
      <c r="N61" s="94" t="s">
        <v>1855</v>
      </c>
      <c r="O61" s="110">
        <f>M61</f>
        <v>29.244999999999997</v>
      </c>
      <c r="P61" s="236" t="s">
        <v>1855</v>
      </c>
      <c r="Q61" s="110">
        <f t="shared" si="7"/>
        <v>39.020000000000003</v>
      </c>
      <c r="R61" s="232" t="s">
        <v>1857</v>
      </c>
      <c r="S61" s="110">
        <f t="shared" si="8"/>
        <v>39.020000000000003</v>
      </c>
      <c r="T61" s="232" t="str">
        <f t="shared" si="3"/>
        <v>Porcelanato</v>
      </c>
      <c r="U61" s="247">
        <f t="shared" si="5"/>
        <v>0</v>
      </c>
    </row>
    <row r="62" spans="2:21" ht="18" customHeight="1">
      <c r="B62" s="94" t="s">
        <v>1493</v>
      </c>
      <c r="C62" s="95" t="s">
        <v>1520</v>
      </c>
      <c r="D62" s="153">
        <v>1</v>
      </c>
      <c r="E62" s="97">
        <v>18.86</v>
      </c>
      <c r="F62" s="97">
        <v>19.29</v>
      </c>
      <c r="G62" s="97">
        <v>2.61</v>
      </c>
      <c r="H62" s="97">
        <f>P3+J7+J7</f>
        <v>4.29</v>
      </c>
      <c r="I62" s="229"/>
      <c r="J62" s="231"/>
      <c r="K62" s="231">
        <v>19.29</v>
      </c>
      <c r="L62" s="19" t="s">
        <v>1854</v>
      </c>
      <c r="M62" s="110">
        <f>(F62*G62-H62)*D62</f>
        <v>46.056899999999999</v>
      </c>
      <c r="N62" s="94"/>
      <c r="O62" s="110"/>
      <c r="P62" s="236" t="s">
        <v>1855</v>
      </c>
      <c r="Q62" s="110">
        <f t="shared" si="7"/>
        <v>18.86</v>
      </c>
      <c r="R62" s="232" t="s">
        <v>1857</v>
      </c>
      <c r="S62" s="110">
        <f t="shared" si="8"/>
        <v>18.86</v>
      </c>
      <c r="T62" s="232" t="str">
        <f t="shared" si="3"/>
        <v>Porcelanato</v>
      </c>
      <c r="U62" s="247">
        <f t="shared" si="5"/>
        <v>0</v>
      </c>
    </row>
    <row r="63" spans="2:21" ht="18" customHeight="1">
      <c r="B63" s="94" t="s">
        <v>1493</v>
      </c>
      <c r="C63" s="95" t="s">
        <v>1531</v>
      </c>
      <c r="D63" s="153">
        <v>1</v>
      </c>
      <c r="E63" s="97">
        <v>38.42</v>
      </c>
      <c r="F63" s="97">
        <v>24.8</v>
      </c>
      <c r="G63" s="97">
        <v>3</v>
      </c>
      <c r="H63" s="97">
        <f>P5+J7+J7+P8</f>
        <v>12.88</v>
      </c>
      <c r="I63" s="229"/>
      <c r="J63" s="231"/>
      <c r="K63" s="231">
        <v>24.8</v>
      </c>
      <c r="L63" s="19" t="s">
        <v>1854</v>
      </c>
      <c r="M63" s="110">
        <f>(F63*G63-H63)*D63/2</f>
        <v>30.76</v>
      </c>
      <c r="N63" s="94" t="s">
        <v>1855</v>
      </c>
      <c r="O63" s="110">
        <f>M63</f>
        <v>30.76</v>
      </c>
      <c r="P63" s="236" t="s">
        <v>1855</v>
      </c>
      <c r="Q63" s="110">
        <f t="shared" si="7"/>
        <v>38.42</v>
      </c>
      <c r="R63" s="232" t="s">
        <v>1857</v>
      </c>
      <c r="S63" s="110">
        <f t="shared" si="8"/>
        <v>38.42</v>
      </c>
      <c r="T63" s="232" t="str">
        <f t="shared" si="3"/>
        <v>Porcelanato</v>
      </c>
      <c r="U63" s="247">
        <f t="shared" si="5"/>
        <v>0</v>
      </c>
    </row>
    <row r="64" spans="2:21" ht="18" customHeight="1">
      <c r="B64" s="94" t="s">
        <v>1493</v>
      </c>
      <c r="C64" s="95" t="s">
        <v>1532</v>
      </c>
      <c r="D64" s="153">
        <v>1</v>
      </c>
      <c r="E64" s="97">
        <v>38.96</v>
      </c>
      <c r="F64" s="97">
        <v>25</v>
      </c>
      <c r="G64" s="97">
        <v>3</v>
      </c>
      <c r="H64" s="97">
        <f>P5+J7+J7+P8+P3</f>
        <v>14.770000000000001</v>
      </c>
      <c r="I64" s="229"/>
      <c r="J64" s="231"/>
      <c r="K64" s="231">
        <v>25</v>
      </c>
      <c r="L64" s="19" t="s">
        <v>1854</v>
      </c>
      <c r="M64" s="110">
        <f>(F64*G64-H64)*D64/2</f>
        <v>30.114999999999998</v>
      </c>
      <c r="N64" s="94" t="s">
        <v>1855</v>
      </c>
      <c r="O64" s="110">
        <f>M64</f>
        <v>30.114999999999998</v>
      </c>
      <c r="P64" s="236" t="s">
        <v>1855</v>
      </c>
      <c r="Q64" s="110">
        <f t="shared" si="7"/>
        <v>38.96</v>
      </c>
      <c r="R64" s="232" t="s">
        <v>1857</v>
      </c>
      <c r="S64" s="110">
        <f t="shared" si="8"/>
        <v>38.96</v>
      </c>
      <c r="T64" s="232" t="str">
        <f t="shared" si="3"/>
        <v>Porcelanato</v>
      </c>
      <c r="U64" s="247">
        <f t="shared" si="5"/>
        <v>0</v>
      </c>
    </row>
    <row r="65" spans="2:21" ht="18" customHeight="1">
      <c r="B65" s="94" t="s">
        <v>1493</v>
      </c>
      <c r="C65" s="95" t="s">
        <v>1520</v>
      </c>
      <c r="D65" s="153">
        <v>1</v>
      </c>
      <c r="E65" s="97">
        <v>16.73</v>
      </c>
      <c r="F65" s="97">
        <v>21.81</v>
      </c>
      <c r="G65" s="97">
        <v>2.61</v>
      </c>
      <c r="H65" s="97">
        <f>J7+P3+P3+J7</f>
        <v>6.18</v>
      </c>
      <c r="I65" s="229"/>
      <c r="J65" s="231"/>
      <c r="K65" s="231">
        <v>21.81</v>
      </c>
      <c r="L65" s="19" t="s">
        <v>1854</v>
      </c>
      <c r="M65" s="110">
        <f>(F65*G65-H65)*D65</f>
        <v>50.744099999999996</v>
      </c>
      <c r="N65" s="94"/>
      <c r="O65" s="110"/>
      <c r="P65" s="236" t="s">
        <v>1855</v>
      </c>
      <c r="Q65" s="110">
        <f t="shared" si="7"/>
        <v>16.73</v>
      </c>
      <c r="R65" s="232" t="s">
        <v>1857</v>
      </c>
      <c r="S65" s="110">
        <f t="shared" si="8"/>
        <v>16.73</v>
      </c>
      <c r="T65" s="232" t="str">
        <f t="shared" si="3"/>
        <v>Porcelanato</v>
      </c>
      <c r="U65" s="247">
        <f t="shared" si="5"/>
        <v>0</v>
      </c>
    </row>
    <row r="66" spans="2:21" ht="18" customHeight="1">
      <c r="B66" s="100" t="s">
        <v>1493</v>
      </c>
      <c r="C66" s="101" t="s">
        <v>1532</v>
      </c>
      <c r="D66" s="248">
        <v>1</v>
      </c>
      <c r="E66" s="102">
        <v>38.96</v>
      </c>
      <c r="F66" s="102">
        <v>25.78</v>
      </c>
      <c r="G66" s="102">
        <v>3</v>
      </c>
      <c r="H66" s="102">
        <f>P5+P3+P8+J12+J12</f>
        <v>18.37</v>
      </c>
      <c r="I66" s="237"/>
      <c r="J66" s="231"/>
      <c r="K66" s="231">
        <v>25.78</v>
      </c>
      <c r="L66" s="19" t="s">
        <v>1854</v>
      </c>
      <c r="M66" s="110">
        <f>(F66*G66-H66)*D66/2</f>
        <v>29.484999999999999</v>
      </c>
      <c r="N66" s="94" t="s">
        <v>1855</v>
      </c>
      <c r="O66" s="110">
        <f>M66</f>
        <v>29.484999999999999</v>
      </c>
      <c r="P66" s="236" t="s">
        <v>1855</v>
      </c>
      <c r="Q66" s="110">
        <f t="shared" si="7"/>
        <v>38.96</v>
      </c>
      <c r="R66" s="232" t="s">
        <v>1857</v>
      </c>
      <c r="S66" s="110">
        <f t="shared" si="8"/>
        <v>38.96</v>
      </c>
      <c r="T66" s="232" t="str">
        <f t="shared" si="3"/>
        <v>Porcelanato</v>
      </c>
      <c r="U66" s="247">
        <f t="shared" si="5"/>
        <v>0</v>
      </c>
    </row>
    <row r="67" spans="2:21" ht="18" customHeight="1">
      <c r="B67" s="249" t="s">
        <v>1493</v>
      </c>
      <c r="C67" s="250" t="s">
        <v>1533</v>
      </c>
      <c r="D67" s="251">
        <v>1</v>
      </c>
      <c r="E67" s="121">
        <v>1104.98</v>
      </c>
      <c r="F67" s="121">
        <v>299</v>
      </c>
      <c r="G67" s="121">
        <v>3.1</v>
      </c>
      <c r="H67" s="121">
        <v>295.27</v>
      </c>
      <c r="I67" s="238">
        <v>1104.98</v>
      </c>
      <c r="J67" s="230"/>
      <c r="K67" s="231">
        <v>299</v>
      </c>
      <c r="L67" s="19" t="s">
        <v>1860</v>
      </c>
      <c r="M67" s="110">
        <f>(F67*G67-H67)*D67</f>
        <v>631.63</v>
      </c>
      <c r="N67" s="19"/>
      <c r="O67" s="110"/>
      <c r="P67" s="232"/>
      <c r="Q67" s="110">
        <f t="shared" si="7"/>
        <v>0</v>
      </c>
      <c r="R67" s="232"/>
      <c r="S67" s="110"/>
      <c r="T67" s="232" t="s">
        <v>1862</v>
      </c>
      <c r="U67" s="247">
        <f t="shared" si="5"/>
        <v>0</v>
      </c>
    </row>
    <row r="68" spans="2:21" ht="18" customHeight="1">
      <c r="B68" s="252" t="s">
        <v>1534</v>
      </c>
      <c r="C68" s="253" t="s">
        <v>1535</v>
      </c>
      <c r="D68" s="248">
        <v>1</v>
      </c>
      <c r="E68" s="102"/>
      <c r="F68" s="102">
        <f>2*(3.3)*(1.05)</f>
        <v>6.93</v>
      </c>
      <c r="G68" s="102">
        <v>5.36</v>
      </c>
      <c r="H68" s="102"/>
      <c r="I68" s="237"/>
      <c r="J68" s="230"/>
      <c r="K68" s="231">
        <v>6.93</v>
      </c>
      <c r="L68" s="19" t="s">
        <v>1863</v>
      </c>
      <c r="M68" s="234">
        <f>(F68*G68-H68)*D68</f>
        <v>37.144800000000004</v>
      </c>
      <c r="N68" s="19"/>
      <c r="O68" s="234"/>
      <c r="P68" s="235"/>
      <c r="Q68" s="110">
        <f t="shared" si="7"/>
        <v>0</v>
      </c>
      <c r="R68" s="232"/>
      <c r="S68" s="110">
        <f t="shared" si="8"/>
        <v>0</v>
      </c>
      <c r="T68" s="232" t="s">
        <v>1856</v>
      </c>
      <c r="U68" s="247">
        <f t="shared" si="5"/>
        <v>0</v>
      </c>
    </row>
    <row r="69" spans="2:21" ht="18" customHeight="1">
      <c r="B69" s="252" t="s">
        <v>1536</v>
      </c>
      <c r="C69" s="253" t="s">
        <v>1537</v>
      </c>
      <c r="D69" s="248">
        <v>1</v>
      </c>
      <c r="E69" s="102"/>
      <c r="F69" s="102">
        <f>2*(1.18)*(10.5)</f>
        <v>24.779999999999998</v>
      </c>
      <c r="G69" s="102">
        <v>2.5</v>
      </c>
      <c r="H69" s="102"/>
      <c r="I69" s="237"/>
      <c r="J69" s="231"/>
      <c r="K69" s="231">
        <v>24.78</v>
      </c>
      <c r="L69" s="94" t="s">
        <v>1864</v>
      </c>
      <c r="M69" s="110"/>
      <c r="N69" s="94"/>
      <c r="O69" s="110"/>
      <c r="P69" s="235"/>
      <c r="Q69" s="110">
        <f t="shared" si="7"/>
        <v>0</v>
      </c>
      <c r="R69" s="235"/>
      <c r="S69" s="110">
        <f t="shared" si="8"/>
        <v>0</v>
      </c>
      <c r="T69" s="235" t="s">
        <v>1865</v>
      </c>
      <c r="U69" s="247">
        <f t="shared" si="5"/>
        <v>-3.5527136788005009E-15</v>
      </c>
    </row>
    <row r="70" spans="2:21" ht="18" customHeight="1">
      <c r="B70" s="252" t="s">
        <v>1538</v>
      </c>
      <c r="C70" s="253" t="s">
        <v>1539</v>
      </c>
      <c r="D70" s="248">
        <v>1</v>
      </c>
      <c r="E70" s="102"/>
      <c r="F70" s="102">
        <f>ROUND((19.87+3.21)*(1.05),2)</f>
        <v>24.23</v>
      </c>
      <c r="G70" s="102">
        <v>0.8</v>
      </c>
      <c r="H70" s="102"/>
      <c r="I70" s="237"/>
      <c r="J70" s="231"/>
      <c r="K70" s="231">
        <v>24.23</v>
      </c>
      <c r="L70" s="94" t="s">
        <v>1866</v>
      </c>
      <c r="M70" s="110">
        <f t="shared" ref="M70:M75" si="9">(F70*G70-H70)*D70</f>
        <v>19.384</v>
      </c>
      <c r="N70" s="94"/>
      <c r="O70" s="110"/>
      <c r="P70" s="235"/>
      <c r="Q70" s="110">
        <f t="shared" si="7"/>
        <v>0</v>
      </c>
      <c r="R70" s="235"/>
      <c r="S70" s="110">
        <f t="shared" si="8"/>
        <v>0</v>
      </c>
      <c r="T70" s="235" t="s">
        <v>1867</v>
      </c>
      <c r="U70" s="247">
        <f t="shared" si="5"/>
        <v>0</v>
      </c>
    </row>
    <row r="71" spans="2:21" ht="18" customHeight="1">
      <c r="B71" s="254" t="s">
        <v>1493</v>
      </c>
      <c r="C71" s="255" t="s">
        <v>1540</v>
      </c>
      <c r="D71" s="256">
        <v>1</v>
      </c>
      <c r="E71" s="257"/>
      <c r="F71" s="257">
        <v>170.95050000000001</v>
      </c>
      <c r="G71" s="257">
        <v>2.5</v>
      </c>
      <c r="H71" s="257">
        <v>17.5</v>
      </c>
      <c r="I71" s="288"/>
      <c r="J71" s="231"/>
      <c r="K71" s="231">
        <v>170.95</v>
      </c>
      <c r="L71" s="94" t="s">
        <v>1860</v>
      </c>
      <c r="M71" s="110">
        <f t="shared" si="9"/>
        <v>409.87625000000003</v>
      </c>
      <c r="N71" s="94"/>
      <c r="O71" s="110"/>
      <c r="P71" s="235"/>
      <c r="Q71" s="110">
        <f t="shared" si="7"/>
        <v>0</v>
      </c>
      <c r="R71" s="235"/>
      <c r="S71" s="110">
        <f t="shared" si="8"/>
        <v>0</v>
      </c>
      <c r="T71" s="235" t="s">
        <v>1867</v>
      </c>
      <c r="U71" s="247">
        <f t="shared" si="5"/>
        <v>5.0000000001659828E-4</v>
      </c>
    </row>
    <row r="72" spans="2:21" ht="18" customHeight="1">
      <c r="B72" s="258" t="s">
        <v>1541</v>
      </c>
      <c r="C72" s="259" t="s">
        <v>1542</v>
      </c>
      <c r="D72" s="153">
        <v>4</v>
      </c>
      <c r="E72" s="97"/>
      <c r="F72" s="97">
        <v>6.76</v>
      </c>
      <c r="G72" s="97">
        <v>1.05</v>
      </c>
      <c r="H72" s="97"/>
      <c r="I72" s="229"/>
      <c r="J72" s="231"/>
      <c r="K72" s="231">
        <v>6.76</v>
      </c>
      <c r="L72" s="94" t="s">
        <v>1860</v>
      </c>
      <c r="M72" s="110">
        <f t="shared" si="9"/>
        <v>28.391999999999999</v>
      </c>
      <c r="N72" s="94"/>
      <c r="O72" s="110"/>
      <c r="P72" s="235"/>
      <c r="Q72" s="110">
        <f t="shared" si="7"/>
        <v>0</v>
      </c>
      <c r="R72" s="235"/>
      <c r="S72" s="110">
        <f t="shared" si="8"/>
        <v>0</v>
      </c>
      <c r="T72" s="235" t="s">
        <v>1867</v>
      </c>
      <c r="U72" s="247">
        <f t="shared" si="5"/>
        <v>0</v>
      </c>
    </row>
    <row r="73" spans="2:21" ht="18" customHeight="1">
      <c r="B73" s="258" t="s">
        <v>1541</v>
      </c>
      <c r="C73" s="159" t="s">
        <v>1543</v>
      </c>
      <c r="D73" s="153">
        <v>1</v>
      </c>
      <c r="E73" s="97"/>
      <c r="F73" s="97">
        <f>(25.79)*(1.05)</f>
        <v>27.079499999999999</v>
      </c>
      <c r="G73" s="97">
        <v>2.7</v>
      </c>
      <c r="H73" s="97"/>
      <c r="I73" s="229"/>
      <c r="J73" s="231"/>
      <c r="K73" s="231">
        <v>27.08</v>
      </c>
      <c r="L73" s="94" t="s">
        <v>1860</v>
      </c>
      <c r="M73" s="234">
        <f t="shared" si="9"/>
        <v>73.114649999999997</v>
      </c>
      <c r="N73" s="94"/>
      <c r="O73" s="234"/>
      <c r="P73" s="235"/>
      <c r="Q73" s="110">
        <f t="shared" si="7"/>
        <v>0</v>
      </c>
      <c r="R73" s="232"/>
      <c r="S73" s="110">
        <f t="shared" si="8"/>
        <v>0</v>
      </c>
      <c r="T73" s="232" t="s">
        <v>1862</v>
      </c>
      <c r="U73" s="247">
        <f t="shared" si="5"/>
        <v>-4.9999999999883471E-4</v>
      </c>
    </row>
    <row r="74" spans="2:21" ht="18" customHeight="1">
      <c r="B74" s="258" t="s">
        <v>1544</v>
      </c>
      <c r="C74" s="159" t="s">
        <v>1545</v>
      </c>
      <c r="D74" s="153">
        <v>1</v>
      </c>
      <c r="E74" s="97"/>
      <c r="F74" s="97">
        <f>(43.42+52.87+50.39+56.85+75.7)*(1.05)</f>
        <v>293.19150000000002</v>
      </c>
      <c r="G74" s="97">
        <v>1.5</v>
      </c>
      <c r="H74" s="97"/>
      <c r="I74" s="229"/>
      <c r="J74" s="231"/>
      <c r="K74" s="231">
        <v>293.19</v>
      </c>
      <c r="L74" s="19" t="s">
        <v>1868</v>
      </c>
      <c r="M74" s="110">
        <f t="shared" si="9"/>
        <v>439.78725000000003</v>
      </c>
      <c r="N74" s="94"/>
      <c r="O74" s="110"/>
      <c r="P74" s="235"/>
      <c r="Q74" s="110">
        <f t="shared" si="7"/>
        <v>0</v>
      </c>
      <c r="R74" s="232"/>
      <c r="S74" s="110">
        <f t="shared" si="8"/>
        <v>0</v>
      </c>
      <c r="T74" s="235" t="s">
        <v>1862</v>
      </c>
      <c r="U74" s="247">
        <f t="shared" si="5"/>
        <v>1.5000000000213731E-3</v>
      </c>
    </row>
    <row r="75" spans="2:21" ht="18" customHeight="1">
      <c r="B75" s="260" t="s">
        <v>1544</v>
      </c>
      <c r="C75" s="261" t="s">
        <v>1546</v>
      </c>
      <c r="D75" s="262">
        <v>1</v>
      </c>
      <c r="E75" s="263"/>
      <c r="F75" s="263">
        <f>(25.79)*(1.05)</f>
        <v>27.079499999999999</v>
      </c>
      <c r="G75" s="264">
        <v>2.7</v>
      </c>
      <c r="H75" s="263"/>
      <c r="I75" s="289"/>
      <c r="J75" s="231"/>
      <c r="K75" s="231">
        <v>27.08</v>
      </c>
      <c r="L75" s="94" t="s">
        <v>1860</v>
      </c>
      <c r="M75" s="110">
        <f t="shared" si="9"/>
        <v>73.114649999999997</v>
      </c>
      <c r="N75" s="94"/>
      <c r="O75" s="110"/>
      <c r="P75" s="235"/>
      <c r="Q75" s="110">
        <f t="shared" si="7"/>
        <v>0</v>
      </c>
      <c r="R75" s="235"/>
      <c r="S75" s="110">
        <f t="shared" si="8"/>
        <v>0</v>
      </c>
      <c r="T75" s="235" t="s">
        <v>1862</v>
      </c>
      <c r="U75" s="247">
        <f t="shared" si="5"/>
        <v>-4.9999999999883471E-4</v>
      </c>
    </row>
    <row r="76" spans="2:21" ht="18" customHeight="1">
      <c r="D76" s="265" t="s">
        <v>1376</v>
      </c>
      <c r="E76" s="266">
        <f t="shared" ref="E76:K76" si="10">SUM(E24:E75)</f>
        <v>2144.54</v>
      </c>
      <c r="F76" s="266">
        <f t="shared" si="10"/>
        <v>1764.0809999999999</v>
      </c>
      <c r="G76" s="267">
        <f t="shared" si="10"/>
        <v>146.56</v>
      </c>
      <c r="H76" s="266">
        <f t="shared" si="10"/>
        <v>860.27300000000002</v>
      </c>
      <c r="I76" s="267">
        <f t="shared" si="10"/>
        <v>1113.8700000000001</v>
      </c>
      <c r="J76" s="266">
        <f t="shared" si="10"/>
        <v>0</v>
      </c>
      <c r="K76" s="267">
        <f t="shared" si="10"/>
        <v>1504.0099999999995</v>
      </c>
      <c r="L76" s="266"/>
      <c r="M76" s="290">
        <f>SUM(M24:M75)</f>
        <v>3174.9802999999997</v>
      </c>
      <c r="N76" s="266"/>
      <c r="O76" s="290">
        <f>SUM(O24:O75)</f>
        <v>538.62169999999992</v>
      </c>
      <c r="P76" s="266"/>
      <c r="Q76" s="293">
        <f>SUM(Q24:Q75)</f>
        <v>1030.67</v>
      </c>
      <c r="R76" s="266"/>
      <c r="S76" s="293">
        <f>SUM(S24:S75)</f>
        <v>1039.56</v>
      </c>
      <c r="T76" s="266"/>
      <c r="U76" s="294">
        <f>SUM(U24:U75)</f>
        <v>260.07099999999997</v>
      </c>
    </row>
    <row r="77" spans="2:21" ht="18" customHeight="1"/>
    <row r="78" spans="2:21" ht="18" customHeight="1"/>
    <row r="79" spans="2:21" ht="18" customHeight="1">
      <c r="B79" s="126" t="s">
        <v>1869</v>
      </c>
      <c r="C79" s="126"/>
      <c r="P79" s="186"/>
    </row>
    <row r="80" spans="2:21" ht="13.5" customHeight="1">
      <c r="B80" s="127" t="s">
        <v>1548</v>
      </c>
      <c r="C80" s="167"/>
      <c r="P80" s="186"/>
      <c r="S80" s="206"/>
    </row>
    <row r="81" spans="2:19 1025:1025" ht="18" customHeight="1">
      <c r="S81" s="206"/>
    </row>
    <row r="82" spans="2:19 1025:1025" ht="24.75" customHeight="1">
      <c r="B82" s="128" t="s">
        <v>1549</v>
      </c>
      <c r="C82" s="223"/>
      <c r="D82" s="128"/>
      <c r="S82" s="206"/>
    </row>
    <row r="83" spans="2:19 1025:1025" ht="24.75" customHeight="1">
      <c r="B83" s="92" t="s">
        <v>1851</v>
      </c>
      <c r="C83" s="92" t="s">
        <v>1482</v>
      </c>
      <c r="D83" s="93" t="s">
        <v>1483</v>
      </c>
      <c r="E83" s="268"/>
      <c r="S83" s="206"/>
    </row>
    <row r="84" spans="2:19 1025:1025" ht="18" customHeight="1">
      <c r="B84" s="269" t="s">
        <v>1854</v>
      </c>
      <c r="C84" s="270">
        <f>COUNTIF(L24:L75,B84)</f>
        <v>23</v>
      </c>
      <c r="D84" s="271">
        <f ca="1">ROUND(SUMIF(L24:M75,B84,M24:M75),2)</f>
        <v>796.7</v>
      </c>
      <c r="E84" s="1" t="s">
        <v>1551</v>
      </c>
      <c r="S84" s="206"/>
    </row>
    <row r="85" spans="2:19 1025:1025" ht="18" customHeight="1">
      <c r="B85" s="269" t="s">
        <v>1855</v>
      </c>
      <c r="C85" s="270">
        <f>COUNTIF(L24:L75,B85)</f>
        <v>8</v>
      </c>
      <c r="D85" s="271">
        <f ca="1">ROUND(SUMIF(L24:M75,B85,M24:M75)+O76,2)</f>
        <v>812.8</v>
      </c>
      <c r="E85" s="272" t="s">
        <v>1551</v>
      </c>
      <c r="Q85" s="206"/>
      <c r="R85" s="292"/>
      <c r="S85" s="206"/>
    </row>
    <row r="86" spans="2:19 1025:1025" ht="18" customHeight="1">
      <c r="B86" s="269" t="s">
        <v>1858</v>
      </c>
      <c r="C86" s="270">
        <f>COUNTIF(L24:L75,B86)</f>
        <v>12</v>
      </c>
      <c r="D86" s="271">
        <f ca="1">ROUND(SUMIF(L24:M75,B86,M24:M75),2)</f>
        <v>391.66</v>
      </c>
      <c r="E86" s="1" t="s">
        <v>1551</v>
      </c>
      <c r="Q86" s="206"/>
      <c r="R86" s="295"/>
      <c r="S86" s="206"/>
    </row>
    <row r="87" spans="2:19 1025:1025" ht="18" customHeight="1">
      <c r="B87" s="269" t="s">
        <v>1860</v>
      </c>
      <c r="C87" s="270">
        <f>COUNTIF(L24:L75,B87)</f>
        <v>5</v>
      </c>
      <c r="D87" s="271">
        <f ca="1">ROUND(SUMIF(L24:M75,B87,M24:M75),2)</f>
        <v>1216.1300000000001</v>
      </c>
      <c r="E87" s="1" t="s">
        <v>1551</v>
      </c>
    </row>
    <row r="88" spans="2:19 1025:1025" ht="18" customHeight="1">
      <c r="B88" s="269" t="s">
        <v>1863</v>
      </c>
      <c r="C88" s="270">
        <f>COUNTIF(L24:L75,B88)</f>
        <v>1</v>
      </c>
      <c r="D88" s="271">
        <f ca="1">ROUND(SUMIF(L24:M75,B88,M24:M75),2)</f>
        <v>37.14</v>
      </c>
      <c r="E88" s="1" t="s">
        <v>1551</v>
      </c>
    </row>
    <row r="89" spans="2:19 1025:1025" ht="18" customHeight="1">
      <c r="B89" s="269" t="s">
        <v>1864</v>
      </c>
      <c r="C89" s="270">
        <f>COUNTIF(L24:L75,B89)</f>
        <v>1</v>
      </c>
      <c r="D89" s="271">
        <f ca="1">ROUND(SUMIF(L24:M75,B89,M24:M75),2)</f>
        <v>0</v>
      </c>
      <c r="E89" s="1" t="s">
        <v>1551</v>
      </c>
    </row>
    <row r="90" spans="2:19 1025:1025" ht="18" customHeight="1">
      <c r="B90" s="269" t="s">
        <v>1866</v>
      </c>
      <c r="C90" s="270">
        <f>COUNTIF(L24:L75,B90)</f>
        <v>1</v>
      </c>
      <c r="D90" s="271">
        <f ca="1">ROUND(SUMIF(L24:M75,B90,M24:M75),2)</f>
        <v>19.38</v>
      </c>
      <c r="E90" s="1" t="s">
        <v>1551</v>
      </c>
      <c r="K90" s="177"/>
      <c r="L90" s="178"/>
      <c r="M90" s="178"/>
    </row>
    <row r="91" spans="2:19 1025:1025" ht="18" customHeight="1">
      <c r="B91" s="273"/>
      <c r="C91" s="270">
        <f>COUNTIF(L24:L75,"Pintura Textura")</f>
        <v>0</v>
      </c>
      <c r="D91" s="271">
        <f ca="1">SUMIF(L24:M75,"Pintura Textura",M24:M75)</f>
        <v>0</v>
      </c>
      <c r="K91" s="177"/>
      <c r="L91" s="178"/>
      <c r="M91" s="178"/>
    </row>
    <row r="92" spans="2:19 1025:1025" ht="18" customHeight="1">
      <c r="B92" s="274"/>
      <c r="C92" s="275"/>
      <c r="D92" s="276"/>
      <c r="K92" s="177"/>
      <c r="L92" s="178"/>
      <c r="M92" s="178"/>
    </row>
    <row r="93" spans="2:19 1025:1025">
      <c r="I93" s="176"/>
      <c r="J93" s="177"/>
      <c r="K93" s="178"/>
      <c r="L93" s="291"/>
      <c r="M93" s="177"/>
      <c r="N93" s="178"/>
      <c r="O93" s="178"/>
    </row>
    <row r="94" spans="2:19 1025:1025">
      <c r="I94" s="176"/>
      <c r="J94" s="177"/>
      <c r="K94" s="178"/>
      <c r="L94" s="291"/>
      <c r="M94" s="177"/>
      <c r="N94" s="178"/>
      <c r="O94" s="178"/>
      <c r="Q94" s="194"/>
      <c r="R94" s="186"/>
    </row>
    <row r="95" spans="2:19 1025:1025" ht="24.75" customHeight="1">
      <c r="B95" s="128" t="s">
        <v>1479</v>
      </c>
      <c r="C95" s="128"/>
      <c r="D95" s="128"/>
      <c r="F95" s="223" t="s">
        <v>1870</v>
      </c>
      <c r="G95" s="128"/>
      <c r="K95" s="35"/>
      <c r="L95" s="1"/>
      <c r="O95" s="35"/>
      <c r="P95" s="194"/>
      <c r="Q95" s="186"/>
      <c r="R95" s="1"/>
      <c r="AMK95"/>
    </row>
    <row r="96" spans="2:19 1025:1025" ht="24.75" customHeight="1">
      <c r="B96" s="92" t="s">
        <v>1851</v>
      </c>
      <c r="C96" s="92" t="s">
        <v>1482</v>
      </c>
      <c r="D96" s="93" t="s">
        <v>1483</v>
      </c>
      <c r="F96" s="92" t="s">
        <v>1871</v>
      </c>
      <c r="G96" s="93" t="s">
        <v>1483</v>
      </c>
      <c r="K96" s="35"/>
      <c r="L96" s="1"/>
      <c r="O96" s="35"/>
      <c r="P96" s="1"/>
      <c r="Q96" s="35"/>
      <c r="R96" s="1"/>
      <c r="AMK96"/>
    </row>
    <row r="97" spans="1:1025">
      <c r="B97" s="269" t="s">
        <v>1855</v>
      </c>
      <c r="C97" s="277">
        <f>COUNTIF(P24:P75,B97)</f>
        <v>42</v>
      </c>
      <c r="D97" s="278">
        <f ca="1">SUMIF(P24:Q75,B97,Q24:Q75)</f>
        <v>1023.11</v>
      </c>
      <c r="E97" s="1" t="s">
        <v>1551</v>
      </c>
      <c r="F97" s="269" t="s">
        <v>1855</v>
      </c>
      <c r="G97" s="279">
        <f ca="1">ROUND(SUM(D97,D85),2)</f>
        <v>1835.91</v>
      </c>
      <c r="H97" s="1" t="s">
        <v>1551</v>
      </c>
      <c r="K97" s="35"/>
      <c r="L97" s="1"/>
      <c r="O97" s="35"/>
      <c r="P97" s="1"/>
      <c r="Q97" s="35"/>
      <c r="R97" s="1"/>
      <c r="AMK97"/>
    </row>
    <row r="98" spans="1:1025">
      <c r="B98" s="273" t="s">
        <v>1860</v>
      </c>
      <c r="C98" s="277">
        <f>COUNTIF(P24:P75,B98)</f>
        <v>1</v>
      </c>
      <c r="D98" s="278">
        <f ca="1">SUMIF(P24:Q75,B98,Q24:Q75)</f>
        <v>7.5599999999999987</v>
      </c>
      <c r="E98" s="1" t="s">
        <v>1551</v>
      </c>
      <c r="F98" s="273" t="s">
        <v>1860</v>
      </c>
      <c r="G98" s="279">
        <f ca="1">ROUND(SUM(D98,D87),2)</f>
        <v>1223.69</v>
      </c>
      <c r="H98" s="1" t="s">
        <v>1551</v>
      </c>
      <c r="K98" s="35"/>
      <c r="L98" s="1"/>
      <c r="O98" s="35"/>
      <c r="P98" s="1"/>
      <c r="Q98" s="35"/>
      <c r="R98" s="1"/>
      <c r="AMK98"/>
    </row>
    <row r="99" spans="1:1025">
      <c r="B99" s="273"/>
      <c r="C99" s="270"/>
      <c r="D99" s="280"/>
      <c r="F99" s="273"/>
      <c r="G99" s="280"/>
      <c r="K99" s="35"/>
      <c r="L99" s="1"/>
      <c r="O99" s="292"/>
      <c r="P99" s="1"/>
      <c r="Q99" s="35"/>
      <c r="R99" s="1"/>
      <c r="AMK99"/>
    </row>
    <row r="102" spans="1:1025" ht="24.75" customHeight="1">
      <c r="B102" s="128" t="s">
        <v>1847</v>
      </c>
      <c r="C102" s="128"/>
      <c r="D102" s="128"/>
    </row>
    <row r="103" spans="1:1025" ht="24.75" customHeight="1">
      <c r="B103" s="92" t="s">
        <v>1851</v>
      </c>
      <c r="C103" s="92" t="s">
        <v>1482</v>
      </c>
      <c r="D103" s="93" t="s">
        <v>1483</v>
      </c>
    </row>
    <row r="104" spans="1:1025">
      <c r="A104"/>
      <c r="B104" s="273" t="s">
        <v>1856</v>
      </c>
      <c r="C104" s="281">
        <f>COUNTIF(R24:R75,B104)</f>
        <v>5</v>
      </c>
      <c r="D104" s="282">
        <f ca="1">ROUND(SUMIF(R24:S75,B104,S24:S75)*1.1,2)</f>
        <v>367.36</v>
      </c>
      <c r="E104" s="1" t="s">
        <v>1551</v>
      </c>
      <c r="F104" s="283"/>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c r="ALZ104"/>
      <c r="AMA104"/>
      <c r="AMB104"/>
      <c r="AMC104"/>
      <c r="AMD104"/>
      <c r="AME104"/>
      <c r="AMF104"/>
      <c r="AMG104"/>
      <c r="AMH104"/>
      <c r="AMI104"/>
      <c r="AMJ104"/>
      <c r="AMK104"/>
    </row>
    <row r="105" spans="1:1025">
      <c r="A105"/>
      <c r="B105" s="273" t="s">
        <v>1857</v>
      </c>
      <c r="C105" s="281">
        <f>COUNTIF(R24:R75,B105)</f>
        <v>38</v>
      </c>
      <c r="D105" s="282">
        <f ca="1">ROUND(SUMIF(R24:S75,B105,S24:S75)*1.1,2)</f>
        <v>776.16</v>
      </c>
      <c r="E105" s="1" t="s">
        <v>1551</v>
      </c>
      <c r="F105" s="284"/>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c r="ALZ105"/>
      <c r="AMA105"/>
      <c r="AMB105"/>
      <c r="AMC105"/>
      <c r="AMD105"/>
      <c r="AME105"/>
      <c r="AMF105"/>
      <c r="AMG105"/>
      <c r="AMH105"/>
      <c r="AMI105"/>
      <c r="AMJ105"/>
      <c r="AMK105"/>
    </row>
    <row r="106" spans="1:1025">
      <c r="A106"/>
      <c r="B106" s="273"/>
      <c r="C106" s="281"/>
      <c r="D106" s="282"/>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c r="ALZ106"/>
      <c r="AMA106"/>
      <c r="AMB106"/>
      <c r="AMC106"/>
      <c r="AMD106"/>
      <c r="AME106"/>
      <c r="AMF106"/>
      <c r="AMG106"/>
      <c r="AMH106"/>
      <c r="AMI106"/>
      <c r="AMJ106"/>
      <c r="AMK106"/>
    </row>
    <row r="109" spans="1:1025" ht="24.75" customHeight="1">
      <c r="A109"/>
      <c r="B109" s="128" t="s">
        <v>1872</v>
      </c>
      <c r="C109" s="128"/>
      <c r="D109" s="128"/>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c r="ALZ109"/>
      <c r="AMA109"/>
      <c r="AMB109"/>
      <c r="AMC109"/>
      <c r="AMD109"/>
      <c r="AME109"/>
      <c r="AMF109"/>
      <c r="AMG109"/>
      <c r="AMH109"/>
      <c r="AMI109"/>
      <c r="AMJ109"/>
      <c r="AMK109"/>
    </row>
    <row r="110" spans="1:1025" ht="24.75" customHeight="1">
      <c r="A110"/>
      <c r="B110" s="92" t="s">
        <v>1851</v>
      </c>
      <c r="C110" s="92" t="s">
        <v>1482</v>
      </c>
      <c r="D110" s="93" t="s">
        <v>1842</v>
      </c>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c r="ALZ110"/>
      <c r="AMA110"/>
      <c r="AMB110"/>
      <c r="AMC110"/>
      <c r="AMD110"/>
      <c r="AME110"/>
      <c r="AMF110"/>
      <c r="AMG110"/>
      <c r="AMH110"/>
      <c r="AMI110"/>
      <c r="AMJ110"/>
      <c r="AMK110"/>
    </row>
    <row r="111" spans="1:1025">
      <c r="A111"/>
      <c r="B111" s="273" t="s">
        <v>1856</v>
      </c>
      <c r="C111" s="270">
        <f>COUNTIF(T24:T75,B111)</f>
        <v>6</v>
      </c>
      <c r="D111" s="285">
        <f ca="1">ROUND((SUMIF(T24:U75,B111,U24:U75)),2)</f>
        <v>172.11</v>
      </c>
      <c r="E111" t="s">
        <v>1551</v>
      </c>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c r="ALZ111"/>
      <c r="AMA111"/>
      <c r="AMB111"/>
      <c r="AMC111"/>
      <c r="AMD111"/>
      <c r="AME111"/>
      <c r="AMF111"/>
      <c r="AMG111"/>
      <c r="AMH111"/>
      <c r="AMI111"/>
      <c r="AMJ111"/>
      <c r="AMK111"/>
    </row>
    <row r="112" spans="1:1025">
      <c r="A112"/>
      <c r="B112" s="273" t="s">
        <v>1857</v>
      </c>
      <c r="C112" s="270">
        <f>COUNTIF(T24:T75,B112)</f>
        <v>38</v>
      </c>
      <c r="D112" s="285">
        <f ca="1">ROUND(SUMIF(T24:U75,B112,U24:U75),2)</f>
        <v>87.96</v>
      </c>
      <c r="E112" t="s">
        <v>1551</v>
      </c>
      <c r="F112"/>
      <c r="G112"/>
      <c r="H11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c r="ALZ112"/>
      <c r="AMA112"/>
      <c r="AMB112"/>
      <c r="AMC112"/>
      <c r="AMD112"/>
      <c r="AME112"/>
      <c r="AMF112"/>
      <c r="AMG112"/>
      <c r="AMH112"/>
      <c r="AMI112"/>
      <c r="AMJ112"/>
      <c r="AMK112"/>
    </row>
    <row r="113" spans="1:1025">
      <c r="A113"/>
      <c r="B113" s="19"/>
      <c r="C113" s="275"/>
      <c r="D113" s="275"/>
      <c r="E113"/>
      <c r="F113"/>
      <c r="G113"/>
      <c r="H11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c r="ALZ113"/>
      <c r="AMA113"/>
      <c r="AMB113"/>
      <c r="AMC113"/>
      <c r="AMD113"/>
      <c r="AME113"/>
      <c r="AMF113"/>
      <c r="AMG113"/>
      <c r="AMH113"/>
      <c r="AMI113"/>
      <c r="AMJ113"/>
      <c r="AMK113"/>
    </row>
    <row r="114" spans="1:1025">
      <c r="A114"/>
      <c r="B114" s="286"/>
      <c r="C114" s="287"/>
      <c r="D114" s="287"/>
      <c r="E114"/>
      <c r="F114"/>
      <c r="G114"/>
      <c r="H11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c r="ALZ114"/>
      <c r="AMA114"/>
      <c r="AMB114"/>
      <c r="AMC114"/>
      <c r="AMD114"/>
      <c r="AME114"/>
      <c r="AMF114"/>
      <c r="AMG114"/>
      <c r="AMH114"/>
      <c r="AMI114"/>
      <c r="AMJ114"/>
      <c r="AMK114"/>
    </row>
    <row r="125" spans="1:1025" ht="19.5">
      <c r="A125"/>
      <c r="B125" s="126" t="s">
        <v>1873</v>
      </c>
      <c r="C125" s="126"/>
      <c r="E125"/>
      <c r="F125"/>
      <c r="G125"/>
      <c r="H12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c r="ALZ125"/>
      <c r="AMA125"/>
      <c r="AMB125"/>
      <c r="AMC125"/>
      <c r="AMD125"/>
      <c r="AME125"/>
      <c r="AMF125"/>
      <c r="AMG125"/>
      <c r="AMH125"/>
      <c r="AMI125"/>
      <c r="AMJ125"/>
      <c r="AMK125"/>
    </row>
    <row r="127" spans="1:1025" ht="37.5">
      <c r="A127"/>
      <c r="B127" s="148" t="s">
        <v>1480</v>
      </c>
      <c r="C127" s="148" t="s">
        <v>1481</v>
      </c>
      <c r="D127" s="148" t="s">
        <v>1482</v>
      </c>
      <c r="E127" s="150" t="s">
        <v>1750</v>
      </c>
      <c r="F127" s="149" t="s">
        <v>1484</v>
      </c>
      <c r="G127" s="149" t="s">
        <v>1874</v>
      </c>
      <c r="H127" s="217" t="s">
        <v>1483</v>
      </c>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c r="ALZ127"/>
      <c r="AMA127"/>
      <c r="AMB127"/>
      <c r="AMC127"/>
      <c r="AMD127"/>
      <c r="AME127"/>
      <c r="AMF127"/>
      <c r="AMG127"/>
      <c r="AMH127"/>
      <c r="AMI127"/>
      <c r="AMJ127"/>
      <c r="AMK127"/>
    </row>
    <row r="129" spans="1:1025">
      <c r="A129"/>
      <c r="B129" s="119" t="s">
        <v>1493</v>
      </c>
      <c r="C129" s="120" t="s">
        <v>1519</v>
      </c>
      <c r="D129" s="220">
        <v>1</v>
      </c>
      <c r="E129" s="220">
        <v>0.21</v>
      </c>
      <c r="F129" s="220">
        <v>25</v>
      </c>
      <c r="G129" s="220">
        <f>Q5+Q8+K12+K12</f>
        <v>9.8000000000000007</v>
      </c>
      <c r="H129" s="121">
        <f t="shared" ref="H129:H149" si="11">(F129-G129)*E129*D129</f>
        <v>3.1919999999999997</v>
      </c>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c r="ALZ129"/>
      <c r="AMA129"/>
      <c r="AMB129"/>
      <c r="AMC129"/>
      <c r="AMD129"/>
      <c r="AME129"/>
      <c r="AMF129"/>
      <c r="AMG129"/>
      <c r="AMH129"/>
      <c r="AMI129"/>
      <c r="AMJ129"/>
      <c r="AMK129"/>
    </row>
    <row r="130" spans="1:1025">
      <c r="A130"/>
      <c r="B130" s="94" t="s">
        <v>1493</v>
      </c>
      <c r="C130" s="95" t="s">
        <v>1520</v>
      </c>
      <c r="D130" s="218">
        <v>1</v>
      </c>
      <c r="E130" s="218">
        <v>0.21</v>
      </c>
      <c r="F130" s="218">
        <v>21.94</v>
      </c>
      <c r="G130" s="218">
        <f>K7+Q3+Q3+K7</f>
        <v>5.8</v>
      </c>
      <c r="H130" s="97">
        <f t="shared" si="11"/>
        <v>3.3894000000000002</v>
      </c>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c r="ALZ130"/>
      <c r="AMA130"/>
      <c r="AMB130"/>
      <c r="AMC130"/>
      <c r="AMD130"/>
      <c r="AME130"/>
      <c r="AMF130"/>
      <c r="AMG130"/>
      <c r="AMH130"/>
      <c r="AMI130"/>
      <c r="AMJ130"/>
      <c r="AMK130"/>
    </row>
    <row r="131" spans="1:1025">
      <c r="A131"/>
      <c r="B131" s="94" t="s">
        <v>1493</v>
      </c>
      <c r="C131" s="95" t="s">
        <v>1519</v>
      </c>
      <c r="D131" s="153">
        <v>1</v>
      </c>
      <c r="E131" s="153">
        <v>0.21</v>
      </c>
      <c r="F131" s="153">
        <v>25</v>
      </c>
      <c r="G131" s="153">
        <f>J12+J12+Q8+Q5</f>
        <v>10.8</v>
      </c>
      <c r="H131" s="97">
        <f t="shared" si="11"/>
        <v>2.9819999999999998</v>
      </c>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c r="ALZ131"/>
      <c r="AMA131"/>
      <c r="AMB131"/>
      <c r="AMC131"/>
      <c r="AMD131"/>
      <c r="AME131"/>
      <c r="AMF131"/>
      <c r="AMG131"/>
      <c r="AMH131"/>
      <c r="AMI131"/>
      <c r="AMJ131"/>
      <c r="AMK131"/>
    </row>
    <row r="132" spans="1:1025">
      <c r="A132"/>
      <c r="B132" s="94" t="s">
        <v>1493</v>
      </c>
      <c r="C132" s="95" t="s">
        <v>1521</v>
      </c>
      <c r="D132" s="153">
        <v>1</v>
      </c>
      <c r="E132" s="153">
        <v>0.21</v>
      </c>
      <c r="F132" s="153">
        <v>24.88</v>
      </c>
      <c r="G132" s="153">
        <f>Q8+K12+K12+Q5</f>
        <v>9.8000000000000007</v>
      </c>
      <c r="H132" s="97">
        <f t="shared" si="11"/>
        <v>3.1667999999999994</v>
      </c>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row>
    <row r="133" spans="1:1025">
      <c r="A133"/>
      <c r="B133" s="94" t="s">
        <v>1493</v>
      </c>
      <c r="C133" s="95" t="s">
        <v>1522</v>
      </c>
      <c r="D133" s="153">
        <v>1</v>
      </c>
      <c r="E133" s="153">
        <v>0.21</v>
      </c>
      <c r="F133" s="153">
        <v>19.2</v>
      </c>
      <c r="G133" s="153">
        <f>K7+Q3+K7</f>
        <v>4.9000000000000004</v>
      </c>
      <c r="H133" s="99">
        <f t="shared" si="11"/>
        <v>3.0029999999999997</v>
      </c>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c r="ALZ133"/>
      <c r="AMA133"/>
      <c r="AMB133"/>
      <c r="AMC133"/>
      <c r="AMD133"/>
      <c r="AME133"/>
      <c r="AMF133"/>
      <c r="AMG133"/>
      <c r="AMH133"/>
      <c r="AMI133"/>
      <c r="AMJ133"/>
      <c r="AMK133"/>
    </row>
    <row r="134" spans="1:1025">
      <c r="A134"/>
      <c r="B134" s="94" t="s">
        <v>1493</v>
      </c>
      <c r="C134" s="95" t="s">
        <v>1523</v>
      </c>
      <c r="D134" s="153">
        <v>1</v>
      </c>
      <c r="E134" s="153">
        <v>0.21</v>
      </c>
      <c r="F134" s="153">
        <v>24.7</v>
      </c>
      <c r="G134" s="153">
        <f>Q8+Q5+K7+K7</f>
        <v>8.8000000000000007</v>
      </c>
      <c r="H134" s="97">
        <f t="shared" si="11"/>
        <v>3.3389999999999995</v>
      </c>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c r="ALZ134"/>
      <c r="AMA134"/>
      <c r="AMB134"/>
      <c r="AMC134"/>
      <c r="AMD134"/>
      <c r="AME134"/>
      <c r="AMF134"/>
      <c r="AMG134"/>
      <c r="AMH134"/>
      <c r="AMI134"/>
      <c r="AMJ134"/>
      <c r="AMK134"/>
    </row>
    <row r="135" spans="1:1025">
      <c r="A135"/>
      <c r="B135" s="94" t="s">
        <v>1493</v>
      </c>
      <c r="C135" s="95" t="s">
        <v>1524</v>
      </c>
      <c r="D135" s="153">
        <v>1</v>
      </c>
      <c r="E135" s="153">
        <v>0.21</v>
      </c>
      <c r="F135" s="153">
        <v>24.9</v>
      </c>
      <c r="G135" s="153">
        <f>Q8+K7+K7+Q5</f>
        <v>8.8000000000000007</v>
      </c>
      <c r="H135" s="97">
        <f t="shared" si="11"/>
        <v>3.3809999999999993</v>
      </c>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c r="ALZ135"/>
      <c r="AMA135"/>
      <c r="AMB135"/>
      <c r="AMC135"/>
      <c r="AMD135"/>
      <c r="AME135"/>
      <c r="AMF135"/>
      <c r="AMG135"/>
      <c r="AMH135"/>
      <c r="AMI135"/>
      <c r="AMJ135"/>
      <c r="AMK135"/>
    </row>
    <row r="136" spans="1:1025">
      <c r="A136"/>
      <c r="B136" s="94" t="s">
        <v>1493</v>
      </c>
      <c r="C136" s="95" t="s">
        <v>1525</v>
      </c>
      <c r="D136" s="153">
        <v>1</v>
      </c>
      <c r="E136" s="153">
        <v>0.21</v>
      </c>
      <c r="F136" s="153">
        <v>15.4</v>
      </c>
      <c r="G136" s="153">
        <f>K7+Q3+Q3+K7</f>
        <v>5.8</v>
      </c>
      <c r="H136" s="97">
        <f t="shared" si="11"/>
        <v>2.016</v>
      </c>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c r="ALZ136"/>
      <c r="AMA136"/>
      <c r="AMB136"/>
      <c r="AMC136"/>
      <c r="AMD136"/>
      <c r="AME136"/>
      <c r="AMF136"/>
      <c r="AMG136"/>
      <c r="AMH136"/>
      <c r="AMI136"/>
      <c r="AMJ136"/>
      <c r="AMK136"/>
    </row>
    <row r="137" spans="1:1025">
      <c r="A137"/>
      <c r="B137" s="94" t="s">
        <v>1493</v>
      </c>
      <c r="C137" s="95" t="s">
        <v>1526</v>
      </c>
      <c r="D137" s="153">
        <v>1</v>
      </c>
      <c r="E137" s="153">
        <v>0.21</v>
      </c>
      <c r="F137" s="153">
        <v>8.1</v>
      </c>
      <c r="G137" s="153">
        <f>1+K7</f>
        <v>3</v>
      </c>
      <c r="H137" s="97">
        <f t="shared" si="11"/>
        <v>1.071</v>
      </c>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c r="ALZ137"/>
      <c r="AMA137"/>
      <c r="AMB137"/>
      <c r="AMC137"/>
      <c r="AMD137"/>
      <c r="AME137"/>
      <c r="AMF137"/>
      <c r="AMG137"/>
      <c r="AMH137"/>
      <c r="AMI137"/>
      <c r="AMJ137"/>
      <c r="AMK137"/>
    </row>
    <row r="138" spans="1:1025">
      <c r="A138"/>
      <c r="B138" s="94" t="s">
        <v>1493</v>
      </c>
      <c r="C138" s="95" t="s">
        <v>1524</v>
      </c>
      <c r="D138" s="153">
        <v>1</v>
      </c>
      <c r="E138" s="153">
        <v>0.21</v>
      </c>
      <c r="F138" s="153">
        <v>24.9</v>
      </c>
      <c r="G138" s="153">
        <f>Q8+K12+K12+Q5</f>
        <v>9.8000000000000007</v>
      </c>
      <c r="H138" s="97">
        <f t="shared" si="11"/>
        <v>3.1709999999999994</v>
      </c>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c r="ALZ138"/>
      <c r="AMA138"/>
      <c r="AMB138"/>
      <c r="AMC138"/>
      <c r="AMD138"/>
      <c r="AME138"/>
      <c r="AMF138"/>
      <c r="AMG138"/>
      <c r="AMH138"/>
      <c r="AMI138"/>
      <c r="AMJ138"/>
      <c r="AMK138"/>
    </row>
    <row r="139" spans="1:1025">
      <c r="A139"/>
      <c r="B139" s="94" t="s">
        <v>1493</v>
      </c>
      <c r="C139" s="95" t="s">
        <v>1861</v>
      </c>
      <c r="D139" s="153">
        <v>1</v>
      </c>
      <c r="E139" s="153">
        <v>0.21</v>
      </c>
      <c r="F139" s="153">
        <v>11.59</v>
      </c>
      <c r="G139" s="153">
        <f>K7+Q3</f>
        <v>2.9</v>
      </c>
      <c r="H139" s="97">
        <f t="shared" si="11"/>
        <v>1.8248999999999997</v>
      </c>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c r="ALZ139"/>
      <c r="AMA139"/>
      <c r="AMB139"/>
      <c r="AMC139"/>
      <c r="AMD139"/>
      <c r="AME139"/>
      <c r="AMF139"/>
      <c r="AMG139"/>
      <c r="AMH139"/>
      <c r="AMI139"/>
      <c r="AMJ139"/>
      <c r="AMK139"/>
    </row>
    <row r="140" spans="1:1025">
      <c r="A140"/>
      <c r="B140" s="94" t="s">
        <v>1493</v>
      </c>
      <c r="C140" s="95" t="s">
        <v>1530</v>
      </c>
      <c r="D140" s="153">
        <v>1</v>
      </c>
      <c r="E140" s="153">
        <v>0.21</v>
      </c>
      <c r="F140" s="153">
        <v>24.99</v>
      </c>
      <c r="G140" s="153">
        <f>Q5+K12+K12+Q8</f>
        <v>9.8000000000000007</v>
      </c>
      <c r="H140" s="97">
        <f t="shared" si="11"/>
        <v>3.1898999999999993</v>
      </c>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c r="ALZ140"/>
      <c r="AMA140"/>
      <c r="AMB140"/>
      <c r="AMC140"/>
      <c r="AMD140"/>
      <c r="AME140"/>
      <c r="AMF140"/>
      <c r="AMG140"/>
      <c r="AMH140"/>
      <c r="AMI140"/>
      <c r="AMJ140"/>
      <c r="AMK140"/>
    </row>
    <row r="141" spans="1:1025">
      <c r="A141"/>
      <c r="B141" s="94" t="s">
        <v>1493</v>
      </c>
      <c r="C141" s="95" t="s">
        <v>1520</v>
      </c>
      <c r="D141" s="153">
        <v>1</v>
      </c>
      <c r="E141" s="153">
        <v>0.21</v>
      </c>
      <c r="F141" s="153">
        <v>19.29</v>
      </c>
      <c r="G141" s="153">
        <f>Q3+K7+K7</f>
        <v>4.9000000000000004</v>
      </c>
      <c r="H141" s="97">
        <f t="shared" si="11"/>
        <v>3.0218999999999996</v>
      </c>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c r="ALZ141"/>
      <c r="AMA141"/>
      <c r="AMB141"/>
      <c r="AMC141"/>
      <c r="AMD141"/>
      <c r="AME141"/>
      <c r="AMF141"/>
      <c r="AMG141"/>
      <c r="AMH141"/>
      <c r="AMI141"/>
      <c r="AMJ141"/>
      <c r="AMK141"/>
    </row>
    <row r="142" spans="1:1025">
      <c r="A142"/>
      <c r="B142" s="94" t="s">
        <v>1493</v>
      </c>
      <c r="C142" s="95" t="s">
        <v>1531</v>
      </c>
      <c r="D142" s="153">
        <v>1</v>
      </c>
      <c r="E142" s="153">
        <v>0.21</v>
      </c>
      <c r="F142" s="153">
        <v>24.8</v>
      </c>
      <c r="G142" s="153">
        <f>Q5+K7+K7+Q8</f>
        <v>8.8000000000000007</v>
      </c>
      <c r="H142" s="97">
        <f t="shared" si="11"/>
        <v>3.36</v>
      </c>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c r="ALZ142"/>
      <c r="AMA142"/>
      <c r="AMB142"/>
      <c r="AMC142"/>
      <c r="AMD142"/>
      <c r="AME142"/>
      <c r="AMF142"/>
      <c r="AMG142"/>
      <c r="AMH142"/>
      <c r="AMI142"/>
      <c r="AMJ142"/>
      <c r="AMK142"/>
    </row>
    <row r="143" spans="1:1025">
      <c r="A143"/>
      <c r="B143" s="94" t="s">
        <v>1493</v>
      </c>
      <c r="C143" s="95" t="s">
        <v>1532</v>
      </c>
      <c r="D143" s="153">
        <v>1</v>
      </c>
      <c r="E143" s="153">
        <v>0.21</v>
      </c>
      <c r="F143" s="153">
        <v>25</v>
      </c>
      <c r="G143" s="153">
        <f>Q5+K7+K7+Q8+Q3</f>
        <v>9.7000000000000011</v>
      </c>
      <c r="H143" s="97">
        <f t="shared" si="11"/>
        <v>3.2129999999999996</v>
      </c>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c r="ALZ143"/>
      <c r="AMA143"/>
      <c r="AMB143"/>
      <c r="AMC143"/>
      <c r="AMD143"/>
      <c r="AME143"/>
      <c r="AMF143"/>
      <c r="AMG143"/>
      <c r="AMH143"/>
      <c r="AMI143"/>
      <c r="AMJ143"/>
      <c r="AMK143"/>
    </row>
    <row r="144" spans="1:1025">
      <c r="A144"/>
      <c r="B144" s="94" t="s">
        <v>1493</v>
      </c>
      <c r="C144" s="95" t="s">
        <v>1520</v>
      </c>
      <c r="D144" s="153">
        <v>1</v>
      </c>
      <c r="E144" s="153">
        <v>0.21</v>
      </c>
      <c r="F144" s="153">
        <v>21.81</v>
      </c>
      <c r="G144" s="153">
        <f>K7+Q3+Q3+K7</f>
        <v>5.8</v>
      </c>
      <c r="H144" s="97">
        <f t="shared" si="11"/>
        <v>3.3620999999999994</v>
      </c>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c r="ALZ144"/>
      <c r="AMA144"/>
      <c r="AMB144"/>
      <c r="AMC144"/>
      <c r="AMD144"/>
      <c r="AME144"/>
      <c r="AMF144"/>
      <c r="AMG144"/>
      <c r="AMH144"/>
      <c r="AMI144"/>
      <c r="AMJ144"/>
      <c r="AMK144"/>
    </row>
    <row r="145" spans="1:1025">
      <c r="A145"/>
      <c r="B145" s="100" t="s">
        <v>1493</v>
      </c>
      <c r="C145" s="101" t="s">
        <v>1532</v>
      </c>
      <c r="D145" s="248">
        <v>1</v>
      </c>
      <c r="E145" s="248">
        <v>0.21</v>
      </c>
      <c r="F145" s="248">
        <v>25.78</v>
      </c>
      <c r="G145" s="248">
        <f>Q5+K12+K12+Q8</f>
        <v>9.8000000000000007</v>
      </c>
      <c r="H145" s="102">
        <f t="shared" si="11"/>
        <v>3.3557999999999999</v>
      </c>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c r="ALZ145"/>
      <c r="AMA145"/>
      <c r="AMB145"/>
      <c r="AMC145"/>
      <c r="AMD145"/>
      <c r="AME145"/>
      <c r="AMF145"/>
      <c r="AMG145"/>
      <c r="AMH145"/>
      <c r="AMI145"/>
      <c r="AMJ145"/>
      <c r="AMK145"/>
    </row>
    <row r="146" spans="1:1025">
      <c r="A146"/>
      <c r="B146" s="100" t="s">
        <v>1493</v>
      </c>
      <c r="C146" s="101" t="s">
        <v>1508</v>
      </c>
      <c r="D146" s="248">
        <v>1</v>
      </c>
      <c r="E146" s="248">
        <v>0.21</v>
      </c>
      <c r="F146" s="248">
        <v>48.53</v>
      </c>
      <c r="G146" s="248">
        <f>Q7+K11+K9+K4+Q2+25.59</f>
        <v>35.89</v>
      </c>
      <c r="H146" s="102">
        <f t="shared" si="11"/>
        <v>2.6543999999999999</v>
      </c>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c r="ALZ146"/>
      <c r="AMA146"/>
      <c r="AMB146"/>
      <c r="AMC146"/>
      <c r="AMD146"/>
      <c r="AME146"/>
      <c r="AMF146"/>
      <c r="AMG146"/>
      <c r="AMH146"/>
      <c r="AMI146"/>
      <c r="AMJ146"/>
      <c r="AMK146"/>
    </row>
    <row r="147" spans="1:1025">
      <c r="A147"/>
      <c r="B147" s="100" t="s">
        <v>1493</v>
      </c>
      <c r="C147" s="101" t="s">
        <v>1494</v>
      </c>
      <c r="D147" s="248">
        <v>1</v>
      </c>
      <c r="E147" s="248">
        <v>0.21</v>
      </c>
      <c r="F147" s="248">
        <v>33.39</v>
      </c>
      <c r="G147" s="248">
        <v>19.079999999999998</v>
      </c>
      <c r="H147" s="102">
        <f t="shared" si="11"/>
        <v>3.0051000000000005</v>
      </c>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c r="ALZ147"/>
      <c r="AMA147"/>
      <c r="AMB147"/>
      <c r="AMC147"/>
      <c r="AMD147"/>
      <c r="AME147"/>
      <c r="AMF147"/>
      <c r="AMG147"/>
      <c r="AMH147"/>
      <c r="AMI147"/>
      <c r="AMJ147"/>
      <c r="AMK147"/>
    </row>
    <row r="148" spans="1:1025">
      <c r="A148"/>
      <c r="B148" s="100" t="s">
        <v>1493</v>
      </c>
      <c r="C148" s="101" t="s">
        <v>1499</v>
      </c>
      <c r="D148" s="248">
        <v>1</v>
      </c>
      <c r="E148" s="248">
        <v>0.21</v>
      </c>
      <c r="F148" s="248">
        <v>15.8</v>
      </c>
      <c r="G148" s="248">
        <f>1.65+Q5+Q3+Q3+Q3+Q5+Q5</f>
        <v>6.75</v>
      </c>
      <c r="H148" s="102">
        <f t="shared" si="11"/>
        <v>1.9005000000000001</v>
      </c>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c r="ALZ148"/>
      <c r="AMA148"/>
      <c r="AMB148"/>
      <c r="AMC148"/>
      <c r="AMD148"/>
      <c r="AME148"/>
      <c r="AMF148"/>
      <c r="AMG148"/>
      <c r="AMH148"/>
      <c r="AMI148"/>
      <c r="AMJ148"/>
      <c r="AMK148"/>
    </row>
    <row r="149" spans="1:1025">
      <c r="A149"/>
      <c r="B149" s="100" t="s">
        <v>1493</v>
      </c>
      <c r="C149" s="101" t="s">
        <v>1528</v>
      </c>
      <c r="D149" s="248">
        <v>1</v>
      </c>
      <c r="E149" s="248">
        <v>0.21</v>
      </c>
      <c r="F149" s="248">
        <v>108.3</v>
      </c>
      <c r="G149" s="248">
        <f>Q5+K7+Q5+Q6+K7+K7+Q5+K7+Q5+0.9+Q5+K7+Q5+K7+K7+Q6+3.29+Q6+K7+K7+Q5+K7+Q3+Q5+Q3+Q5+Q3+K7+Q5+K7+K7+Q6</f>
        <v>52.889999999999986</v>
      </c>
      <c r="H149" s="102">
        <f t="shared" si="11"/>
        <v>11.636100000000003</v>
      </c>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c r="ALZ149"/>
      <c r="AMA149"/>
      <c r="AMB149"/>
      <c r="AMC149"/>
      <c r="AMD149"/>
      <c r="AME149"/>
      <c r="AMF149"/>
      <c r="AMG149"/>
      <c r="AMH149"/>
      <c r="AMI149"/>
      <c r="AMJ149"/>
      <c r="AMK149"/>
    </row>
    <row r="150" spans="1:1025">
      <c r="A150"/>
      <c r="G150" s="265" t="s">
        <v>1376</v>
      </c>
      <c r="H150" s="267">
        <f>ROUND(SUM(H129:H149)*1.1,2)</f>
        <v>76.16</v>
      </c>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c r="ALZ150"/>
      <c r="AMA150"/>
      <c r="AMB150"/>
      <c r="AMC150"/>
      <c r="AMD150"/>
      <c r="AME150"/>
      <c r="AMF150"/>
      <c r="AMG150"/>
      <c r="AMH150"/>
      <c r="AMI150"/>
      <c r="AMJ150"/>
      <c r="AMK150"/>
    </row>
  </sheetData>
  <pageMargins left="0.51041666666666696" right="0.31388888888888899" top="0.43263888888888902" bottom="0.51180555555555596" header="0.31388888888888899" footer="0.35416666666666702"/>
  <pageSetup paperSize="9" scale="36" firstPageNumber="0" orientation="landscape" useFirstPageNumber="1" horizontalDpi="300" verticalDpi="300" r:id="rId1"/>
  <drawing r:id="rId2"/>
  <legacy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MK86"/>
  <sheetViews>
    <sheetView showGridLines="0" view="pageBreakPreview" topLeftCell="A47" zoomScale="80" zoomScaleNormal="90" workbookViewId="0">
      <selection activeCell="D70" sqref="D70"/>
    </sheetView>
  </sheetViews>
  <sheetFormatPr defaultColWidth="9" defaultRowHeight="15"/>
  <cols>
    <col min="1" max="1" width="2" style="1" customWidth="1"/>
    <col min="2" max="2" width="18.140625" style="1" customWidth="1"/>
    <col min="3" max="3" width="18" style="1" customWidth="1"/>
    <col min="4" max="4" width="10" style="1" customWidth="1"/>
    <col min="5" max="5" width="19.140625" style="1" customWidth="1"/>
    <col min="6" max="7" width="11.5703125" style="1" customWidth="1"/>
    <col min="8" max="8" width="14.28515625" style="1" customWidth="1"/>
    <col min="9" max="9" width="55" style="1" customWidth="1"/>
    <col min="10" max="10" width="13.42578125" style="1" customWidth="1"/>
    <col min="11" max="11" width="14.5703125" style="1" customWidth="1"/>
    <col min="12" max="12" width="13.42578125" style="1" customWidth="1"/>
    <col min="13" max="13" width="9.7109375" style="1" customWidth="1"/>
    <col min="14" max="14" width="10.5703125" style="1" customWidth="1"/>
    <col min="15" max="15" width="22.7109375" style="1" customWidth="1"/>
    <col min="16" max="16" width="12.5703125" style="1" customWidth="1"/>
    <col min="17" max="17" width="10.85546875" style="1" customWidth="1"/>
    <col min="18" max="18" width="12.5703125" style="1" customWidth="1"/>
    <col min="19" max="19" width="20.5703125" style="1" customWidth="1"/>
    <col min="20" max="20" width="12.5703125" style="1" customWidth="1"/>
    <col min="21" max="21" width="18.7109375" style="1" customWidth="1"/>
    <col min="22" max="22" width="13.7109375" style="1" customWidth="1"/>
    <col min="23" max="1025" width="9.140625" style="1" customWidth="1"/>
  </cols>
  <sheetData>
    <row r="1" spans="2:22" ht="18.75">
      <c r="J1" s="3"/>
      <c r="K1" s="13"/>
      <c r="N1" s="13"/>
      <c r="P1" s="35"/>
    </row>
    <row r="2" spans="2:22" ht="18.75">
      <c r="B2" s="5"/>
      <c r="C2" s="11"/>
      <c r="D2" s="13"/>
      <c r="E2" s="13"/>
      <c r="F2" s="13"/>
      <c r="G2" s="13"/>
      <c r="H2" s="5"/>
      <c r="I2" s="13"/>
      <c r="J2" s="13"/>
    </row>
    <row r="3" spans="2:22" ht="19.5">
      <c r="B3" s="125" t="s">
        <v>1875</v>
      </c>
      <c r="C3" s="126"/>
      <c r="D3" s="13"/>
      <c r="E3" s="13"/>
      <c r="F3" s="13"/>
      <c r="G3" s="13"/>
      <c r="H3" s="5"/>
      <c r="I3" s="13"/>
      <c r="J3" s="13"/>
    </row>
    <row r="5" spans="2:22">
      <c r="R5" s="194"/>
      <c r="S5" s="201"/>
      <c r="T5" s="194"/>
      <c r="U5" s="201"/>
      <c r="V5" s="194"/>
    </row>
    <row r="6" spans="2:22">
      <c r="R6" s="194"/>
      <c r="S6" s="201"/>
      <c r="T6" s="194"/>
      <c r="U6" s="201"/>
      <c r="V6" s="194"/>
    </row>
    <row r="7" spans="2:22" ht="19.5">
      <c r="H7" s="126" t="s">
        <v>1876</v>
      </c>
      <c r="I7" s="126"/>
      <c r="R7" s="194"/>
      <c r="S7" s="201"/>
      <c r="T7" s="194"/>
      <c r="U7" s="201"/>
      <c r="V7" s="194"/>
    </row>
    <row r="8" spans="2:22" ht="15.75">
      <c r="H8" s="127" t="s">
        <v>1548</v>
      </c>
      <c r="I8" s="167"/>
      <c r="R8" s="194"/>
      <c r="S8" s="200"/>
      <c r="T8" s="194"/>
      <c r="U8" s="200"/>
      <c r="V8" s="194"/>
    </row>
    <row r="9" spans="2:22" ht="18.75">
      <c r="D9" s="1253" t="s">
        <v>1449</v>
      </c>
      <c r="E9" s="1253"/>
      <c r="F9" s="1253"/>
      <c r="G9" s="1253"/>
      <c r="H9" s="1253"/>
      <c r="I9" s="1253"/>
      <c r="J9" s="1253"/>
      <c r="K9" s="1253"/>
      <c r="R9" s="194"/>
      <c r="S9" s="200"/>
      <c r="T9" s="194"/>
      <c r="U9" s="200"/>
      <c r="V9" s="194"/>
    </row>
    <row r="10" spans="2:22" ht="24.75" customHeight="1">
      <c r="D10" s="129" t="s">
        <v>1877</v>
      </c>
      <c r="E10" s="129" t="s">
        <v>1824</v>
      </c>
      <c r="F10" s="129" t="s">
        <v>1842</v>
      </c>
      <c r="G10" s="129" t="s">
        <v>1750</v>
      </c>
      <c r="H10" s="130" t="s">
        <v>1483</v>
      </c>
      <c r="I10" s="109" t="s">
        <v>1826</v>
      </c>
      <c r="J10" s="168" t="s">
        <v>1871</v>
      </c>
      <c r="K10" s="109" t="s">
        <v>1482</v>
      </c>
      <c r="O10" s="169"/>
      <c r="R10" s="194"/>
      <c r="S10" s="200"/>
      <c r="T10" s="194"/>
      <c r="U10" s="200"/>
      <c r="V10" s="194"/>
    </row>
    <row r="11" spans="2:22" ht="18" customHeight="1">
      <c r="D11" s="45" t="s">
        <v>1450</v>
      </c>
      <c r="E11" s="45" t="s">
        <v>1878</v>
      </c>
      <c r="F11" s="45">
        <v>2</v>
      </c>
      <c r="G11" s="45">
        <v>2.1</v>
      </c>
      <c r="H11" s="45"/>
      <c r="I11" s="170" t="s">
        <v>1841</v>
      </c>
      <c r="J11" s="171"/>
      <c r="K11" s="82">
        <v>2</v>
      </c>
      <c r="L11" s="1" t="s">
        <v>1551</v>
      </c>
      <c r="O11" s="172"/>
      <c r="R11" s="194"/>
      <c r="S11" s="200"/>
      <c r="T11" s="194"/>
      <c r="U11" s="200"/>
      <c r="V11" s="194"/>
    </row>
    <row r="12" spans="2:22" s="124" customFormat="1" ht="18" customHeight="1">
      <c r="D12" s="45" t="s">
        <v>1451</v>
      </c>
      <c r="E12" s="45" t="s">
        <v>1879</v>
      </c>
      <c r="F12" s="45">
        <v>1</v>
      </c>
      <c r="G12" s="45">
        <v>0.6</v>
      </c>
      <c r="H12" s="45">
        <v>0.6</v>
      </c>
      <c r="I12" s="170" t="s">
        <v>1880</v>
      </c>
      <c r="J12" s="173"/>
      <c r="K12" s="82">
        <v>8</v>
      </c>
      <c r="L12" s="124" t="s">
        <v>1551</v>
      </c>
      <c r="O12" s="174"/>
      <c r="S12" s="202"/>
      <c r="T12" s="203"/>
      <c r="U12" s="202"/>
      <c r="V12" s="203"/>
    </row>
    <row r="13" spans="2:22" s="124" customFormat="1" ht="18" customHeight="1">
      <c r="D13" s="45" t="s">
        <v>1453</v>
      </c>
      <c r="E13" s="45" t="s">
        <v>1881</v>
      </c>
      <c r="F13" s="45">
        <v>1</v>
      </c>
      <c r="G13" s="45">
        <v>0.8</v>
      </c>
      <c r="H13" s="45">
        <f t="shared" ref="H13:H24" si="0">ROUND(F13*G13,2)</f>
        <v>0.8</v>
      </c>
      <c r="I13" s="170" t="s">
        <v>1880</v>
      </c>
      <c r="J13" s="173"/>
      <c r="K13" s="82">
        <v>1</v>
      </c>
      <c r="L13" s="124" t="s">
        <v>1551</v>
      </c>
      <c r="O13" s="174"/>
    </row>
    <row r="14" spans="2:22" s="124" customFormat="1" ht="18" customHeight="1">
      <c r="D14" s="45" t="s">
        <v>1455</v>
      </c>
      <c r="E14" s="45" t="s">
        <v>1882</v>
      </c>
      <c r="F14" s="45">
        <v>1.5</v>
      </c>
      <c r="G14" s="45">
        <v>0.8</v>
      </c>
      <c r="H14" s="45">
        <f t="shared" si="0"/>
        <v>1.2</v>
      </c>
      <c r="I14" s="170" t="s">
        <v>1880</v>
      </c>
      <c r="J14" s="173"/>
      <c r="K14" s="82">
        <v>2</v>
      </c>
      <c r="L14" s="124" t="s">
        <v>1551</v>
      </c>
      <c r="O14" s="174"/>
    </row>
    <row r="15" spans="2:22" s="124" customFormat="1" ht="18" customHeight="1">
      <c r="D15" s="45" t="s">
        <v>1457</v>
      </c>
      <c r="E15" s="45" t="s">
        <v>1883</v>
      </c>
      <c r="F15" s="45">
        <v>1.5</v>
      </c>
      <c r="G15" s="45">
        <v>1.2</v>
      </c>
      <c r="H15" s="45">
        <f t="shared" si="0"/>
        <v>1.8</v>
      </c>
      <c r="I15" s="170" t="s">
        <v>1880</v>
      </c>
      <c r="J15" s="173"/>
      <c r="K15" s="82">
        <v>2</v>
      </c>
      <c r="L15" s="124" t="s">
        <v>1551</v>
      </c>
      <c r="O15" s="174"/>
      <c r="S15" s="202"/>
      <c r="T15" s="203"/>
      <c r="U15" s="202"/>
      <c r="V15" s="203"/>
    </row>
    <row r="16" spans="2:22" s="124" customFormat="1" ht="18" customHeight="1">
      <c r="D16" s="45" t="s">
        <v>1459</v>
      </c>
      <c r="E16" s="45" t="s">
        <v>1884</v>
      </c>
      <c r="F16" s="45">
        <v>1.4</v>
      </c>
      <c r="G16" s="45">
        <v>1.65</v>
      </c>
      <c r="H16" s="45">
        <f t="shared" si="0"/>
        <v>2.31</v>
      </c>
      <c r="I16" s="170" t="s">
        <v>1880</v>
      </c>
      <c r="J16" s="173"/>
      <c r="K16" s="82">
        <v>1</v>
      </c>
      <c r="L16" s="124" t="s">
        <v>1551</v>
      </c>
      <c r="O16" s="174"/>
    </row>
    <row r="17" spans="4:22" s="124" customFormat="1" ht="18" customHeight="1">
      <c r="D17" s="45" t="s">
        <v>1461</v>
      </c>
      <c r="E17" s="45" t="s">
        <v>1885</v>
      </c>
      <c r="F17" s="45">
        <v>1.5</v>
      </c>
      <c r="G17" s="45">
        <v>2.1</v>
      </c>
      <c r="H17" s="45"/>
      <c r="I17" s="170" t="s">
        <v>1841</v>
      </c>
      <c r="J17" s="173"/>
      <c r="K17" s="82">
        <v>3</v>
      </c>
      <c r="L17" s="124" t="s">
        <v>1551</v>
      </c>
      <c r="O17" s="174"/>
      <c r="S17" s="202"/>
      <c r="T17" s="203"/>
      <c r="U17" s="202"/>
      <c r="V17" s="203"/>
    </row>
    <row r="18" spans="4:22" s="124" customFormat="1" ht="18" customHeight="1">
      <c r="D18" s="45" t="s">
        <v>1463</v>
      </c>
      <c r="E18" s="45" t="s">
        <v>1886</v>
      </c>
      <c r="F18" s="45">
        <v>2</v>
      </c>
      <c r="G18" s="45">
        <v>0.6</v>
      </c>
      <c r="H18" s="45">
        <f t="shared" si="0"/>
        <v>1.2</v>
      </c>
      <c r="I18" s="170" t="s">
        <v>1880</v>
      </c>
      <c r="J18" s="173"/>
      <c r="K18" s="82">
        <v>17</v>
      </c>
      <c r="L18" s="124" t="s">
        <v>1551</v>
      </c>
      <c r="O18" s="174"/>
    </row>
    <row r="19" spans="4:22" s="124" customFormat="1" ht="18" customHeight="1">
      <c r="D19" s="45" t="s">
        <v>1465</v>
      </c>
      <c r="E19" s="45" t="s">
        <v>1887</v>
      </c>
      <c r="F19" s="45">
        <v>2</v>
      </c>
      <c r="G19" s="45">
        <v>1.2</v>
      </c>
      <c r="H19" s="45">
        <f t="shared" si="0"/>
        <v>2.4</v>
      </c>
      <c r="I19" s="170" t="s">
        <v>1880</v>
      </c>
      <c r="J19" s="173"/>
      <c r="K19" s="82">
        <v>2</v>
      </c>
      <c r="L19" s="124" t="s">
        <v>1551</v>
      </c>
      <c r="O19" s="174"/>
    </row>
    <row r="20" spans="4:22" s="124" customFormat="1" ht="18" customHeight="1">
      <c r="D20" s="45" t="s">
        <v>1467</v>
      </c>
      <c r="E20" s="45" t="s">
        <v>1888</v>
      </c>
      <c r="F20" s="45">
        <v>2</v>
      </c>
      <c r="G20" s="45">
        <v>1</v>
      </c>
      <c r="H20" s="45">
        <f t="shared" si="0"/>
        <v>2</v>
      </c>
      <c r="I20" s="170" t="s">
        <v>1880</v>
      </c>
      <c r="J20" s="173"/>
      <c r="K20" s="82">
        <v>2</v>
      </c>
      <c r="L20" s="124" t="s">
        <v>1551</v>
      </c>
      <c r="O20" s="174"/>
      <c r="S20" s="202"/>
      <c r="T20" s="203"/>
      <c r="U20" s="202"/>
      <c r="V20" s="203"/>
    </row>
    <row r="21" spans="4:22" s="124" customFormat="1" ht="18" customHeight="1">
      <c r="D21" s="45" t="s">
        <v>1469</v>
      </c>
      <c r="E21" s="45" t="s">
        <v>1889</v>
      </c>
      <c r="F21" s="45">
        <v>2</v>
      </c>
      <c r="G21" s="45">
        <v>1.65</v>
      </c>
      <c r="H21" s="45">
        <f t="shared" si="0"/>
        <v>3.3</v>
      </c>
      <c r="I21" s="170" t="s">
        <v>1880</v>
      </c>
      <c r="J21" s="173"/>
      <c r="K21" s="82">
        <v>1</v>
      </c>
      <c r="L21" s="124" t="s">
        <v>1551</v>
      </c>
      <c r="O21" s="174"/>
    </row>
    <row r="22" spans="4:22" s="124" customFormat="1" ht="18" customHeight="1">
      <c r="D22" s="45" t="s">
        <v>1470</v>
      </c>
      <c r="E22" s="45" t="s">
        <v>1890</v>
      </c>
      <c r="F22" s="45">
        <v>2.5</v>
      </c>
      <c r="G22" s="45">
        <v>0.9</v>
      </c>
      <c r="H22" s="45">
        <f t="shared" si="0"/>
        <v>2.25</v>
      </c>
      <c r="I22" s="170" t="s">
        <v>1880</v>
      </c>
      <c r="J22" s="173"/>
      <c r="K22" s="82">
        <v>2</v>
      </c>
      <c r="L22" s="124" t="s">
        <v>1551</v>
      </c>
      <c r="O22" s="174"/>
    </row>
    <row r="23" spans="4:22" s="124" customFormat="1" ht="18" customHeight="1">
      <c r="D23" s="45" t="s">
        <v>1471</v>
      </c>
      <c r="E23" s="45" t="s">
        <v>1891</v>
      </c>
      <c r="F23" s="45">
        <v>2.5</v>
      </c>
      <c r="G23" s="45">
        <v>1.2</v>
      </c>
      <c r="H23" s="45">
        <f t="shared" si="0"/>
        <v>3</v>
      </c>
      <c r="I23" s="170" t="s">
        <v>1880</v>
      </c>
      <c r="J23" s="173"/>
      <c r="K23" s="82">
        <v>13</v>
      </c>
      <c r="L23" s="124" t="s">
        <v>1551</v>
      </c>
      <c r="O23" s="174"/>
    </row>
    <row r="24" spans="4:22" s="124" customFormat="1" ht="18" customHeight="1">
      <c r="D24" s="45" t="s">
        <v>1472</v>
      </c>
      <c r="E24" s="45" t="s">
        <v>1892</v>
      </c>
      <c r="F24" s="45">
        <v>3</v>
      </c>
      <c r="G24" s="45">
        <v>1.2</v>
      </c>
      <c r="H24" s="45">
        <f t="shared" si="0"/>
        <v>3.6</v>
      </c>
      <c r="I24" s="170" t="s">
        <v>1880</v>
      </c>
      <c r="J24" s="173"/>
      <c r="K24" s="82">
        <v>3</v>
      </c>
      <c r="L24" s="124" t="s">
        <v>1551</v>
      </c>
      <c r="O24" s="175"/>
      <c r="S24" s="186"/>
      <c r="T24" s="194"/>
      <c r="U24" s="186"/>
      <c r="V24" s="194"/>
    </row>
    <row r="25" spans="4:22" s="124" customFormat="1" ht="18" customHeight="1">
      <c r="G25" s="131" t="s">
        <v>1775</v>
      </c>
      <c r="H25" s="131">
        <f>ROUND(SUM(H11:H24)*1.1,2)</f>
        <v>26.91</v>
      </c>
      <c r="I25" s="131"/>
      <c r="J25" s="131"/>
      <c r="K25" s="133">
        <f>SUM(K11:K24)</f>
        <v>59</v>
      </c>
      <c r="L25" s="124" t="s">
        <v>1551</v>
      </c>
      <c r="O25" s="175"/>
      <c r="S25" s="186"/>
      <c r="T25" s="194"/>
      <c r="U25" s="186"/>
      <c r="V25" s="194"/>
    </row>
    <row r="26" spans="4:22">
      <c r="L26" s="176"/>
      <c r="M26" s="177"/>
      <c r="N26" s="178"/>
      <c r="O26" s="178"/>
      <c r="P26" s="179"/>
      <c r="Q26" s="204"/>
    </row>
    <row r="27" spans="4:22" ht="24.75" customHeight="1">
      <c r="D27" s="1253" t="s">
        <v>1452</v>
      </c>
      <c r="E27" s="1253"/>
      <c r="F27" s="1253"/>
      <c r="G27" s="1253"/>
      <c r="H27" s="1253"/>
      <c r="I27" s="1253"/>
      <c r="J27" s="1253"/>
      <c r="K27" s="1253"/>
      <c r="P27" s="179"/>
      <c r="Q27" s="204"/>
    </row>
    <row r="28" spans="4:22" ht="18" customHeight="1">
      <c r="D28" s="129" t="s">
        <v>1893</v>
      </c>
      <c r="E28" s="129" t="s">
        <v>1824</v>
      </c>
      <c r="F28" s="129" t="s">
        <v>1842</v>
      </c>
      <c r="G28" s="129" t="s">
        <v>1750</v>
      </c>
      <c r="H28" s="129" t="s">
        <v>1483</v>
      </c>
      <c r="I28" s="109" t="s">
        <v>1826</v>
      </c>
      <c r="J28" s="180" t="s">
        <v>1871</v>
      </c>
      <c r="K28" s="109" t="s">
        <v>1482</v>
      </c>
      <c r="P28" s="179"/>
      <c r="Q28" s="204"/>
    </row>
    <row r="29" spans="4:22" ht="18" customHeight="1">
      <c r="D29" s="45" t="s">
        <v>1454</v>
      </c>
      <c r="E29" s="45" t="s">
        <v>1894</v>
      </c>
      <c r="F29" s="45">
        <v>0.7</v>
      </c>
      <c r="G29" s="45">
        <v>2.1</v>
      </c>
      <c r="H29" s="132">
        <v>1.47</v>
      </c>
      <c r="I29" s="113" t="s">
        <v>1895</v>
      </c>
      <c r="J29" s="181" t="s">
        <v>1896</v>
      </c>
      <c r="K29" s="82">
        <v>1</v>
      </c>
      <c r="L29" s="35" t="s">
        <v>1551</v>
      </c>
      <c r="O29" s="182"/>
      <c r="P29" s="179"/>
      <c r="Q29" s="204"/>
    </row>
    <row r="30" spans="4:22" ht="18" customHeight="1">
      <c r="D30" s="45" t="s">
        <v>1897</v>
      </c>
      <c r="E30" s="45" t="s">
        <v>1894</v>
      </c>
      <c r="F30" s="45">
        <v>0.7</v>
      </c>
      <c r="G30" s="45">
        <v>2.1</v>
      </c>
      <c r="H30" s="132">
        <f t="shared" ref="H30:H40" si="1">ROUND(F30*G30,2)</f>
        <v>1.47</v>
      </c>
      <c r="I30" s="113" t="s">
        <v>1898</v>
      </c>
      <c r="J30" s="181" t="s">
        <v>1896</v>
      </c>
      <c r="K30" s="82">
        <v>4</v>
      </c>
      <c r="L30" s="182"/>
      <c r="M30" s="183"/>
      <c r="N30" s="182"/>
      <c r="O30" s="184"/>
      <c r="P30" s="185"/>
      <c r="Q30" s="204"/>
    </row>
    <row r="31" spans="4:22" ht="18" customHeight="1">
      <c r="D31" s="45" t="s">
        <v>1899</v>
      </c>
      <c r="E31" s="45" t="s">
        <v>1900</v>
      </c>
      <c r="F31" s="45">
        <v>0.8</v>
      </c>
      <c r="G31" s="45">
        <v>2.1</v>
      </c>
      <c r="H31" s="132">
        <f t="shared" si="1"/>
        <v>1.68</v>
      </c>
      <c r="I31" s="113" t="s">
        <v>1895</v>
      </c>
      <c r="J31" s="181" t="s">
        <v>1896</v>
      </c>
      <c r="K31" s="82">
        <v>7</v>
      </c>
      <c r="L31" s="186" t="s">
        <v>1551</v>
      </c>
      <c r="M31" s="187"/>
      <c r="N31" s="188"/>
      <c r="O31" s="184"/>
      <c r="P31" s="179"/>
      <c r="Q31" s="204"/>
    </row>
    <row r="32" spans="4:22" ht="18" customHeight="1">
      <c r="D32" s="45" t="s">
        <v>1901</v>
      </c>
      <c r="E32" s="45" t="s">
        <v>1900</v>
      </c>
      <c r="F32" s="45">
        <v>0.8</v>
      </c>
      <c r="G32" s="45">
        <v>2.1</v>
      </c>
      <c r="H32" s="132">
        <f t="shared" si="1"/>
        <v>1.68</v>
      </c>
      <c r="I32" s="113" t="s">
        <v>1898</v>
      </c>
      <c r="J32" s="181" t="s">
        <v>1896</v>
      </c>
      <c r="K32" s="82">
        <f>6+8</f>
        <v>14</v>
      </c>
      <c r="L32" s="182" t="s">
        <v>1551</v>
      </c>
      <c r="M32" s="183"/>
      <c r="N32" s="182"/>
      <c r="O32" s="184"/>
      <c r="P32" s="185"/>
      <c r="Q32" s="204"/>
    </row>
    <row r="33" spans="1:22" ht="18" customHeight="1">
      <c r="D33" s="45" t="s">
        <v>1458</v>
      </c>
      <c r="E33" s="45" t="s">
        <v>1900</v>
      </c>
      <c r="F33" s="45">
        <v>0.8</v>
      </c>
      <c r="G33" s="45">
        <v>2.1</v>
      </c>
      <c r="H33" s="132">
        <f t="shared" si="1"/>
        <v>1.68</v>
      </c>
      <c r="I33" s="170" t="s">
        <v>1895</v>
      </c>
      <c r="J33" s="181" t="s">
        <v>1902</v>
      </c>
      <c r="K33" s="82">
        <v>1</v>
      </c>
      <c r="L33" s="186" t="s">
        <v>1551</v>
      </c>
      <c r="M33" s="187"/>
      <c r="N33" s="188"/>
      <c r="O33" s="184"/>
      <c r="P33" s="179"/>
      <c r="Q33" s="204"/>
    </row>
    <row r="34" spans="1:22" ht="18" customHeight="1">
      <c r="D34" s="45" t="s">
        <v>1460</v>
      </c>
      <c r="E34" s="45" t="s">
        <v>1900</v>
      </c>
      <c r="F34" s="45">
        <v>0.8</v>
      </c>
      <c r="G34" s="45">
        <v>2.1</v>
      </c>
      <c r="H34" s="132">
        <f t="shared" si="1"/>
        <v>1.68</v>
      </c>
      <c r="I34" s="170" t="s">
        <v>1903</v>
      </c>
      <c r="J34" s="181" t="s">
        <v>1896</v>
      </c>
      <c r="K34" s="82">
        <v>15</v>
      </c>
      <c r="L34" s="186" t="s">
        <v>1551</v>
      </c>
      <c r="M34" s="187"/>
      <c r="N34" s="189"/>
      <c r="O34" s="184"/>
      <c r="P34" s="179"/>
      <c r="Q34" s="204"/>
    </row>
    <row r="35" spans="1:22" ht="18" customHeight="1">
      <c r="D35" s="45" t="s">
        <v>1904</v>
      </c>
      <c r="E35" s="45" t="s">
        <v>1900</v>
      </c>
      <c r="F35" s="45">
        <v>0.8</v>
      </c>
      <c r="G35" s="45">
        <v>2.1</v>
      </c>
      <c r="H35" s="132">
        <f t="shared" si="1"/>
        <v>1.68</v>
      </c>
      <c r="I35" s="113" t="s">
        <v>1898</v>
      </c>
      <c r="J35" s="181" t="s">
        <v>1896</v>
      </c>
      <c r="K35" s="82">
        <v>1</v>
      </c>
      <c r="L35" s="182"/>
      <c r="M35" s="183"/>
      <c r="N35" s="182"/>
      <c r="O35" s="184"/>
      <c r="P35" s="185"/>
      <c r="Q35" s="204"/>
    </row>
    <row r="36" spans="1:22" ht="18" customHeight="1">
      <c r="D36" s="45" t="s">
        <v>1462</v>
      </c>
      <c r="E36" s="45" t="s">
        <v>1905</v>
      </c>
      <c r="F36" s="45">
        <v>3</v>
      </c>
      <c r="G36" s="45">
        <v>3</v>
      </c>
      <c r="H36" s="132">
        <f t="shared" si="1"/>
        <v>9</v>
      </c>
      <c r="I36" s="170" t="s">
        <v>1906</v>
      </c>
      <c r="J36" s="181" t="s">
        <v>1902</v>
      </c>
      <c r="K36" s="82">
        <v>4</v>
      </c>
      <c r="L36" s="35" t="s">
        <v>1551</v>
      </c>
      <c r="P36" s="190"/>
      <c r="Q36" s="201"/>
    </row>
    <row r="37" spans="1:22" ht="18" customHeight="1">
      <c r="D37" s="45" t="s">
        <v>1464</v>
      </c>
      <c r="E37" s="45" t="s">
        <v>1907</v>
      </c>
      <c r="F37" s="45">
        <v>3.5</v>
      </c>
      <c r="G37" s="45">
        <v>2.5</v>
      </c>
      <c r="H37" s="132">
        <f t="shared" si="1"/>
        <v>8.75</v>
      </c>
      <c r="I37" s="170" t="s">
        <v>1908</v>
      </c>
      <c r="J37" s="181" t="s">
        <v>1902</v>
      </c>
      <c r="K37" s="82">
        <v>2</v>
      </c>
      <c r="L37" s="35" t="s">
        <v>1551</v>
      </c>
    </row>
    <row r="38" spans="1:22" ht="18" customHeight="1">
      <c r="D38" s="45" t="s">
        <v>1466</v>
      </c>
      <c r="E38" s="45" t="s">
        <v>1909</v>
      </c>
      <c r="F38" s="45">
        <v>4</v>
      </c>
      <c r="G38" s="45">
        <v>2.2000000000000002</v>
      </c>
      <c r="H38" s="132">
        <f t="shared" si="1"/>
        <v>8.8000000000000007</v>
      </c>
      <c r="I38" s="113" t="s">
        <v>1906</v>
      </c>
      <c r="J38" s="181" t="s">
        <v>1902</v>
      </c>
      <c r="K38" s="83">
        <v>11</v>
      </c>
      <c r="L38" s="35" t="s">
        <v>1551</v>
      </c>
    </row>
    <row r="39" spans="1:22" ht="18" customHeight="1">
      <c r="D39" s="45" t="s">
        <v>1468</v>
      </c>
      <c r="E39" s="45" t="s">
        <v>1910</v>
      </c>
      <c r="F39" s="45">
        <v>4.7</v>
      </c>
      <c r="G39" s="45">
        <v>2.5</v>
      </c>
      <c r="H39" s="132">
        <f t="shared" si="1"/>
        <v>11.75</v>
      </c>
      <c r="I39" s="113" t="s">
        <v>1911</v>
      </c>
      <c r="J39" s="181" t="s">
        <v>1896</v>
      </c>
      <c r="K39" s="83">
        <v>1</v>
      </c>
      <c r="L39" s="35" t="s">
        <v>1551</v>
      </c>
    </row>
    <row r="40" spans="1:22" ht="18" customHeight="1">
      <c r="D40" s="45" t="s">
        <v>1912</v>
      </c>
      <c r="E40" s="45" t="s">
        <v>1913</v>
      </c>
      <c r="F40" s="45">
        <v>0.6</v>
      </c>
      <c r="G40" s="45">
        <v>1.2</v>
      </c>
      <c r="H40" s="132">
        <f t="shared" si="1"/>
        <v>0.72</v>
      </c>
      <c r="I40" s="113" t="s">
        <v>1914</v>
      </c>
      <c r="J40" s="181" t="s">
        <v>1896</v>
      </c>
      <c r="K40" s="83">
        <v>8</v>
      </c>
      <c r="L40" s="35" t="s">
        <v>1551</v>
      </c>
    </row>
    <row r="41" spans="1:22" ht="18" customHeight="1">
      <c r="D41" s="131" t="s">
        <v>1775</v>
      </c>
      <c r="E41" s="133"/>
      <c r="F41" s="133"/>
      <c r="G41" s="133"/>
      <c r="H41" s="134">
        <f>ROUND(SUM(H29:H40)*1.1,2)</f>
        <v>55.4</v>
      </c>
      <c r="I41" s="133"/>
      <c r="J41" s="133"/>
      <c r="K41" s="133">
        <f>SUM(K29:K40)</f>
        <v>69</v>
      </c>
      <c r="L41" s="35" t="s">
        <v>1551</v>
      </c>
      <c r="P41" s="169"/>
      <c r="Q41" s="169"/>
    </row>
    <row r="42" spans="1:22" ht="13.5" customHeight="1">
      <c r="P42" s="172"/>
      <c r="Q42" s="172"/>
      <c r="S42" s="205"/>
      <c r="T42" s="206"/>
      <c r="U42" s="205"/>
      <c r="V42" s="206"/>
    </row>
    <row r="43" spans="1:22" ht="18" customHeight="1"/>
    <row r="44" spans="1:22" ht="18" customHeight="1">
      <c r="P44" s="174"/>
      <c r="Q44" s="174"/>
      <c r="S44" s="205"/>
      <c r="T44" s="206"/>
      <c r="U44" s="205"/>
      <c r="V44" s="206"/>
    </row>
    <row r="45" spans="1:22" ht="19.5">
      <c r="B45" s="126" t="s">
        <v>1915</v>
      </c>
      <c r="C45" s="126"/>
      <c r="D45" s="13"/>
      <c r="E45" s="5"/>
      <c r="F45" s="13"/>
      <c r="G45" s="135"/>
      <c r="H45" s="136"/>
    </row>
    <row r="46" spans="1:22" ht="18.75" customHeight="1">
      <c r="G46" s="136"/>
      <c r="H46" s="136"/>
      <c r="M46" s="191"/>
      <c r="N46" s="192"/>
      <c r="O46" s="169"/>
      <c r="P46" s="192"/>
      <c r="Q46" s="191"/>
      <c r="R46" s="192"/>
      <c r="S46" s="169"/>
    </row>
    <row r="47" spans="1:22" ht="33" customHeight="1">
      <c r="B47" s="137"/>
      <c r="C47" s="138"/>
      <c r="D47" s="139" t="s">
        <v>1474</v>
      </c>
      <c r="E47" s="138"/>
      <c r="F47" s="138"/>
      <c r="G47" s="138"/>
      <c r="H47" s="140" t="s">
        <v>1916</v>
      </c>
      <c r="I47" s="128"/>
      <c r="M47" s="141"/>
      <c r="N47" s="172"/>
      <c r="O47" s="172"/>
      <c r="P47" s="172"/>
      <c r="Q47" s="172"/>
      <c r="R47" s="172"/>
      <c r="S47" s="172"/>
    </row>
    <row r="48" spans="1:22" ht="27" customHeight="1">
      <c r="A48" s="141"/>
      <c r="B48" s="142" t="s">
        <v>1823</v>
      </c>
      <c r="C48" s="143"/>
      <c r="D48" s="144"/>
      <c r="E48" s="145" t="s">
        <v>1824</v>
      </c>
      <c r="F48" s="146"/>
      <c r="G48" s="143"/>
      <c r="H48" s="147"/>
      <c r="I48" s="193"/>
      <c r="L48" s="141"/>
      <c r="M48" s="194"/>
      <c r="N48" s="141"/>
      <c r="O48" s="194"/>
      <c r="P48" s="141"/>
      <c r="Q48" s="194"/>
      <c r="R48" s="141"/>
      <c r="S48" s="194"/>
    </row>
    <row r="49" spans="1:22" ht="29.25" customHeight="1">
      <c r="A49" s="141"/>
      <c r="B49" s="148" t="s">
        <v>1480</v>
      </c>
      <c r="C49" s="148" t="s">
        <v>1481</v>
      </c>
      <c r="D49" s="148" t="s">
        <v>1482</v>
      </c>
      <c r="E49" s="149" t="s">
        <v>1484</v>
      </c>
      <c r="F49" s="149" t="s">
        <v>1485</v>
      </c>
      <c r="G49" s="150" t="s">
        <v>1825</v>
      </c>
      <c r="H49" s="91" t="s">
        <v>1826</v>
      </c>
      <c r="I49" s="92" t="s">
        <v>1483</v>
      </c>
      <c r="J49" s="195"/>
      <c r="L49" s="141"/>
      <c r="M49" s="194"/>
      <c r="N49" s="141"/>
      <c r="O49" s="194"/>
      <c r="P49" s="141"/>
      <c r="Q49" s="194"/>
      <c r="R49" s="141"/>
      <c r="S49" s="194"/>
    </row>
    <row r="50" spans="1:22" ht="18" customHeight="1">
      <c r="A50" s="141"/>
      <c r="B50" s="151" t="s">
        <v>1493</v>
      </c>
      <c r="C50" s="152" t="s">
        <v>1499</v>
      </c>
      <c r="D50" s="153">
        <v>1</v>
      </c>
      <c r="E50" s="97">
        <v>1</v>
      </c>
      <c r="F50" s="97">
        <v>3.1</v>
      </c>
      <c r="G50" s="20"/>
      <c r="H50" s="154" t="s">
        <v>1917</v>
      </c>
      <c r="I50" s="196">
        <f>((E50*F50)-G50)*D50</f>
        <v>3.1</v>
      </c>
      <c r="J50" s="1" t="s">
        <v>1551</v>
      </c>
      <c r="L50" s="141"/>
      <c r="M50" s="194"/>
      <c r="N50" s="141"/>
      <c r="O50" s="194"/>
      <c r="P50" s="141"/>
      <c r="Q50" s="194"/>
      <c r="R50" s="141"/>
      <c r="S50" s="141"/>
    </row>
    <row r="51" spans="1:22" ht="18" customHeight="1">
      <c r="A51" s="141"/>
      <c r="B51" s="151" t="s">
        <v>1493</v>
      </c>
      <c r="C51" s="152" t="s">
        <v>1508</v>
      </c>
      <c r="D51" s="155">
        <v>1</v>
      </c>
      <c r="E51" s="156">
        <f>7.72+5.61</f>
        <v>13.33</v>
      </c>
      <c r="F51" s="156">
        <v>3.1</v>
      </c>
      <c r="G51" s="157"/>
      <c r="H51" s="154" t="s">
        <v>1917</v>
      </c>
      <c r="I51" s="196">
        <f>((E51*F51)-G51)*D51</f>
        <v>41.323</v>
      </c>
      <c r="J51" s="1" t="s">
        <v>1551</v>
      </c>
      <c r="L51" s="141"/>
      <c r="M51" s="194"/>
      <c r="N51" s="141"/>
      <c r="O51" s="194"/>
      <c r="P51" s="141"/>
      <c r="Q51" s="194"/>
      <c r="R51" s="141"/>
      <c r="S51" s="141"/>
    </row>
    <row r="52" spans="1:22" ht="18" customHeight="1">
      <c r="A52" s="158"/>
      <c r="B52" s="151" t="s">
        <v>1493</v>
      </c>
      <c r="C52" s="159" t="s">
        <v>1494</v>
      </c>
      <c r="D52" s="153">
        <v>1</v>
      </c>
      <c r="E52" s="97">
        <v>8.84</v>
      </c>
      <c r="F52" s="97">
        <v>4</v>
      </c>
      <c r="G52" s="20"/>
      <c r="H52" s="154" t="s">
        <v>1917</v>
      </c>
      <c r="I52" s="196">
        <f>((E52*F52)-G52)*D52</f>
        <v>35.36</v>
      </c>
      <c r="J52" s="1" t="s">
        <v>1551</v>
      </c>
      <c r="L52" s="197"/>
      <c r="M52" s="194"/>
      <c r="N52" s="197"/>
      <c r="O52" s="194"/>
      <c r="P52" s="197"/>
      <c r="Q52" s="194"/>
      <c r="R52" s="197"/>
      <c r="S52" s="194"/>
    </row>
    <row r="53" spans="1:22" ht="18" customHeight="1">
      <c r="A53" s="158"/>
      <c r="B53" s="151" t="s">
        <v>1493</v>
      </c>
      <c r="C53" s="159" t="s">
        <v>1918</v>
      </c>
      <c r="D53" s="153">
        <v>1</v>
      </c>
      <c r="E53" s="97">
        <f>1.16+1.26</f>
        <v>2.42</v>
      </c>
      <c r="F53" s="97">
        <v>4</v>
      </c>
      <c r="G53" s="20"/>
      <c r="H53" s="154" t="s">
        <v>1917</v>
      </c>
      <c r="I53" s="196">
        <f>((E53*F53)-G53)*D53</f>
        <v>9.68</v>
      </c>
      <c r="J53" s="1" t="s">
        <v>1551</v>
      </c>
      <c r="L53" s="197"/>
      <c r="M53" s="194"/>
      <c r="N53" s="197"/>
      <c r="O53" s="194"/>
      <c r="P53" s="197"/>
      <c r="Q53" s="194"/>
      <c r="R53" s="197"/>
      <c r="S53" s="194"/>
    </row>
    <row r="54" spans="1:22" ht="18" customHeight="1">
      <c r="B54" s="160"/>
      <c r="C54" s="161"/>
      <c r="D54" s="162" t="s">
        <v>1376</v>
      </c>
      <c r="E54" s="163"/>
      <c r="F54" s="164"/>
      <c r="G54" s="163">
        <f>SUM(G50:G53)</f>
        <v>0</v>
      </c>
      <c r="H54" s="165"/>
      <c r="I54" s="198">
        <f>ROUND(SUM(I50:I53)*1.1,2)</f>
        <v>98.41</v>
      </c>
      <c r="J54" s="1" t="s">
        <v>1551</v>
      </c>
      <c r="L54" s="80"/>
      <c r="M54" s="199"/>
      <c r="N54" s="80"/>
      <c r="O54" s="199"/>
      <c r="P54" s="197"/>
      <c r="Q54" s="194"/>
      <c r="R54" s="197"/>
      <c r="S54" s="194"/>
    </row>
    <row r="55" spans="1:22" ht="18" customHeight="1">
      <c r="P55" s="200"/>
      <c r="Q55" s="200"/>
      <c r="S55" s="205"/>
      <c r="T55" s="206"/>
      <c r="U55" s="205"/>
      <c r="V55" s="206"/>
    </row>
    <row r="56" spans="1:22">
      <c r="P56" s="174"/>
      <c r="Q56" s="174"/>
      <c r="S56" s="207"/>
      <c r="T56" s="206"/>
      <c r="U56" s="207"/>
      <c r="V56" s="206"/>
    </row>
    <row r="57" spans="1:22" ht="18" customHeight="1">
      <c r="P57" s="174"/>
      <c r="Q57" s="174"/>
    </row>
    <row r="58" spans="1:22" ht="28.5" customHeight="1">
      <c r="P58" s="174"/>
      <c r="Q58" s="174"/>
    </row>
    <row r="59" spans="1:22" ht="22.5" customHeight="1">
      <c r="B59" s="74" t="s">
        <v>212</v>
      </c>
      <c r="C59" s="75"/>
      <c r="D59" s="13"/>
      <c r="H59" s="74" t="s">
        <v>212</v>
      </c>
      <c r="I59" s="1254" t="s">
        <v>1919</v>
      </c>
      <c r="J59" s="1254"/>
    </row>
    <row r="60" spans="1:22" ht="37.5">
      <c r="B60" s="14" t="s">
        <v>1480</v>
      </c>
      <c r="C60" s="14" t="s">
        <v>1791</v>
      </c>
      <c r="D60" s="14" t="s">
        <v>1749</v>
      </c>
      <c r="E60" s="14" t="s">
        <v>1482</v>
      </c>
      <c r="F60" s="14" t="s">
        <v>1483</v>
      </c>
      <c r="H60" s="14" t="s">
        <v>1480</v>
      </c>
      <c r="I60" s="77" t="s">
        <v>1791</v>
      </c>
      <c r="J60" s="77" t="s">
        <v>1483</v>
      </c>
    </row>
    <row r="61" spans="1:22">
      <c r="B61" s="166" t="s">
        <v>1493</v>
      </c>
      <c r="C61" s="87">
        <v>0.6</v>
      </c>
      <c r="D61" s="85">
        <v>0.4</v>
      </c>
      <c r="E61" s="85">
        <v>22</v>
      </c>
      <c r="F61" s="85">
        <f>C61*D61*E61</f>
        <v>5.2799999999999994</v>
      </c>
      <c r="H61" s="166" t="s">
        <v>1493</v>
      </c>
      <c r="I61" s="87">
        <f>((0.7*2.1)*(1)*(2))+((0.8*2.1)*(16)*(2))+((0.8*2.1)*(8)*(2))</f>
        <v>83.580000000000013</v>
      </c>
      <c r="J61" s="166">
        <f>I61</f>
        <v>83.580000000000013</v>
      </c>
    </row>
    <row r="62" spans="1:22">
      <c r="B62" s="54" t="s">
        <v>1376</v>
      </c>
      <c r="C62" s="55"/>
      <c r="D62" s="55"/>
      <c r="E62" s="55"/>
      <c r="F62" s="55">
        <f>ROUND(SUM(F61:F61)*1.1,2)</f>
        <v>5.81</v>
      </c>
      <c r="G62" s="1" t="s">
        <v>1551</v>
      </c>
      <c r="H62" s="54" t="s">
        <v>1376</v>
      </c>
      <c r="I62" s="1043" t="s">
        <v>1920</v>
      </c>
      <c r="J62" s="55">
        <f>ROUND(SUM(J61:J61)*1.1,2)</f>
        <v>91.94</v>
      </c>
    </row>
    <row r="63" spans="1:22">
      <c r="P63" s="174"/>
      <c r="Q63" s="174"/>
    </row>
    <row r="64" spans="1:22">
      <c r="P64" s="178"/>
      <c r="Q64" s="178"/>
    </row>
    <row r="65" spans="2:17">
      <c r="P65" s="178"/>
      <c r="Q65" s="178"/>
    </row>
    <row r="67" spans="2:17" ht="18.75">
      <c r="B67" s="1254" t="s">
        <v>1921</v>
      </c>
      <c r="C67" s="1254"/>
      <c r="D67" s="1254"/>
    </row>
    <row r="68" spans="2:17" ht="37.5">
      <c r="B68" s="14" t="s">
        <v>1480</v>
      </c>
      <c r="C68" s="77" t="s">
        <v>1791</v>
      </c>
      <c r="D68" s="77" t="s">
        <v>1483</v>
      </c>
      <c r="P68" s="190"/>
      <c r="Q68" s="200"/>
    </row>
    <row r="69" spans="2:17">
      <c r="B69" s="166" t="s">
        <v>1493</v>
      </c>
      <c r="C69" s="166">
        <f>0.8+2+2.25</f>
        <v>5.05</v>
      </c>
      <c r="D69" s="166">
        <f>C69</f>
        <v>5.05</v>
      </c>
      <c r="O69" s="200"/>
      <c r="P69" s="208"/>
      <c r="Q69" s="200"/>
    </row>
    <row r="70" spans="2:17">
      <c r="B70" s="54" t="s">
        <v>1376</v>
      </c>
      <c r="C70" s="1043" t="s">
        <v>1920</v>
      </c>
      <c r="D70" s="55">
        <f>ROUND(SUM(D69:D69)*1.1,2)</f>
        <v>5.56</v>
      </c>
    </row>
    <row r="86" spans="6:6">
      <c r="F86" s="1">
        <f>(Esquadrias!H36)*(Esquadrias!K36)</f>
        <v>36</v>
      </c>
    </row>
  </sheetData>
  <mergeCells count="4">
    <mergeCell ref="D9:K9"/>
    <mergeCell ref="D27:K27"/>
    <mergeCell ref="I59:J59"/>
    <mergeCell ref="B67:D67"/>
  </mergeCells>
  <pageMargins left="0.51041666666666696" right="0.51041666666666696" top="0.51180555555555596" bottom="0.78749999999999998" header="0.31388888888888899" footer="0.51041666666666696"/>
  <pageSetup paperSize="9" scale="43" firstPageNumber="0" orientation="landscape" useFirstPageNumber="1" horizontalDpi="300" verticalDpi="300" r:id="rId1"/>
  <colBreaks count="1" manualBreakCount="1">
    <brk id="13" max="8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B1:M65"/>
  <sheetViews>
    <sheetView showGridLines="0" view="pageBreakPreview" zoomScaleNormal="90" workbookViewId="0">
      <selection activeCell="E7" sqref="E7"/>
    </sheetView>
  </sheetViews>
  <sheetFormatPr defaultColWidth="9" defaultRowHeight="15"/>
  <cols>
    <col min="1" max="1" width="2.7109375" customWidth="1"/>
    <col min="2" max="7" width="21" customWidth="1"/>
    <col min="8" max="1025" width="8.7109375" customWidth="1"/>
  </cols>
  <sheetData>
    <row r="1" spans="2:13">
      <c r="D1" s="40"/>
      <c r="F1" s="41"/>
      <c r="G1" s="41"/>
      <c r="L1" s="64"/>
    </row>
    <row r="2" spans="2:13">
      <c r="D2" s="40"/>
      <c r="F2" s="41"/>
      <c r="G2" s="41"/>
      <c r="L2" s="64"/>
    </row>
    <row r="3" spans="2:13">
      <c r="D3" s="40"/>
      <c r="F3" s="41"/>
      <c r="G3" s="41"/>
      <c r="L3" s="64"/>
    </row>
    <row r="4" spans="2:13" ht="31.5">
      <c r="B4" s="4" t="s">
        <v>1922</v>
      </c>
      <c r="C4" s="4"/>
      <c r="D4" s="40"/>
      <c r="F4" s="41"/>
      <c r="G4" s="41"/>
      <c r="L4" s="64"/>
    </row>
    <row r="5" spans="2:13">
      <c r="D5" s="40"/>
      <c r="F5" s="41"/>
      <c r="G5" s="41"/>
      <c r="L5" s="64"/>
    </row>
    <row r="6" spans="2:13" ht="18.75">
      <c r="B6" s="9"/>
      <c r="C6" s="13"/>
      <c r="D6" s="12"/>
      <c r="E6" s="13"/>
      <c r="G6" s="9"/>
      <c r="K6" s="13"/>
      <c r="L6" s="9"/>
      <c r="M6" s="64"/>
    </row>
    <row r="7" spans="2:13" ht="18.75">
      <c r="B7" s="5"/>
      <c r="C7" s="6"/>
      <c r="D7" s="7"/>
      <c r="E7" s="8"/>
      <c r="G7" s="5"/>
      <c r="K7" s="13"/>
      <c r="L7" s="5"/>
      <c r="M7" s="64"/>
    </row>
    <row r="8" spans="2:13" ht="18.75">
      <c r="B8" s="5"/>
      <c r="C8" s="5"/>
      <c r="D8" s="7"/>
      <c r="E8" s="10"/>
      <c r="G8" s="5"/>
      <c r="K8" s="13"/>
      <c r="L8" s="5"/>
      <c r="M8" s="64"/>
    </row>
    <row r="9" spans="2:13" ht="18.75">
      <c r="G9" s="112"/>
      <c r="H9" s="13"/>
      <c r="K9" s="13"/>
      <c r="M9" s="64"/>
    </row>
    <row r="10" spans="2:13" ht="18.75">
      <c r="B10" s="5"/>
      <c r="C10" s="11"/>
      <c r="D10" s="12"/>
      <c r="E10" s="5"/>
      <c r="G10" s="5"/>
      <c r="H10" s="13"/>
      <c r="K10" s="13"/>
      <c r="M10" s="64"/>
    </row>
    <row r="11" spans="2:13" ht="37.5">
      <c r="B11" s="91" t="s">
        <v>1480</v>
      </c>
      <c r="C11" s="91" t="s">
        <v>1481</v>
      </c>
      <c r="D11" s="91" t="s">
        <v>1482</v>
      </c>
      <c r="E11" s="92" t="s">
        <v>1923</v>
      </c>
      <c r="F11" s="92" t="s">
        <v>1924</v>
      </c>
      <c r="G11" s="92" t="s">
        <v>1923</v>
      </c>
    </row>
    <row r="12" spans="2:13">
      <c r="B12" s="94" t="s">
        <v>1493</v>
      </c>
      <c r="C12" s="113" t="s">
        <v>1494</v>
      </c>
      <c r="D12" s="78">
        <v>1</v>
      </c>
      <c r="E12" s="99">
        <v>40.159999999999997</v>
      </c>
      <c r="F12" s="114"/>
      <c r="G12" s="115">
        <f t="shared" ref="G12:G43" si="0">(E12-F12)*D12</f>
        <v>40.159999999999997</v>
      </c>
    </row>
    <row r="13" spans="2:13">
      <c r="B13" s="94" t="s">
        <v>1493</v>
      </c>
      <c r="C13" s="95" t="s">
        <v>1497</v>
      </c>
      <c r="D13" s="78">
        <v>1</v>
      </c>
      <c r="E13" s="97">
        <v>25.95</v>
      </c>
      <c r="F13" s="116"/>
      <c r="G13" s="117">
        <f t="shared" si="0"/>
        <v>25.95</v>
      </c>
    </row>
    <row r="14" spans="2:13">
      <c r="B14" s="94" t="s">
        <v>1493</v>
      </c>
      <c r="C14" s="95" t="s">
        <v>1498</v>
      </c>
      <c r="D14" s="78">
        <v>1</v>
      </c>
      <c r="E14" s="97">
        <v>14.03</v>
      </c>
      <c r="F14" s="78"/>
      <c r="G14" s="117">
        <f t="shared" si="0"/>
        <v>14.03</v>
      </c>
    </row>
    <row r="15" spans="2:13">
      <c r="B15" s="94" t="s">
        <v>1493</v>
      </c>
      <c r="C15" s="95" t="s">
        <v>1499</v>
      </c>
      <c r="D15" s="78">
        <v>1</v>
      </c>
      <c r="E15" s="97">
        <v>25.8</v>
      </c>
      <c r="F15" s="78"/>
      <c r="G15" s="117">
        <f t="shared" si="0"/>
        <v>25.8</v>
      </c>
    </row>
    <row r="16" spans="2:13">
      <c r="B16" s="94" t="s">
        <v>1493</v>
      </c>
      <c r="C16" s="95" t="s">
        <v>1500</v>
      </c>
      <c r="D16" s="78">
        <v>1</v>
      </c>
      <c r="E16" s="97">
        <v>11.67</v>
      </c>
      <c r="F16" s="78"/>
      <c r="G16" s="117">
        <f t="shared" si="0"/>
        <v>11.67</v>
      </c>
    </row>
    <row r="17" spans="2:7">
      <c r="B17" s="94" t="s">
        <v>1493</v>
      </c>
      <c r="C17" s="95" t="s">
        <v>1501</v>
      </c>
      <c r="D17" s="78">
        <v>1</v>
      </c>
      <c r="E17" s="97">
        <v>9.73</v>
      </c>
      <c r="F17" s="78"/>
      <c r="G17" s="117">
        <f t="shared" si="0"/>
        <v>9.73</v>
      </c>
    </row>
    <row r="18" spans="2:7">
      <c r="B18" s="94" t="s">
        <v>1493</v>
      </c>
      <c r="C18" s="95" t="s">
        <v>1502</v>
      </c>
      <c r="D18" s="78">
        <v>1</v>
      </c>
      <c r="E18" s="97">
        <v>2.8</v>
      </c>
      <c r="F18" s="78"/>
      <c r="G18" s="117">
        <f t="shared" si="0"/>
        <v>2.8</v>
      </c>
    </row>
    <row r="19" spans="2:7">
      <c r="B19" s="94" t="s">
        <v>1493</v>
      </c>
      <c r="C19" s="95" t="s">
        <v>1503</v>
      </c>
      <c r="D19" s="78">
        <v>1</v>
      </c>
      <c r="E19" s="97">
        <v>19.84</v>
      </c>
      <c r="F19" s="118"/>
      <c r="G19" s="117">
        <f t="shared" si="0"/>
        <v>19.84</v>
      </c>
    </row>
    <row r="20" spans="2:7">
      <c r="B20" s="94" t="s">
        <v>1493</v>
      </c>
      <c r="C20" s="95" t="s">
        <v>1504</v>
      </c>
      <c r="D20" s="78">
        <v>1</v>
      </c>
      <c r="E20" s="99">
        <v>2.7</v>
      </c>
      <c r="F20" s="116"/>
      <c r="G20" s="117">
        <f t="shared" si="0"/>
        <v>2.7</v>
      </c>
    </row>
    <row r="21" spans="2:7">
      <c r="B21" s="94" t="s">
        <v>1493</v>
      </c>
      <c r="C21" s="95" t="s">
        <v>1505</v>
      </c>
      <c r="D21" s="78">
        <v>1</v>
      </c>
      <c r="E21" s="97">
        <v>2.7</v>
      </c>
      <c r="F21" s="78"/>
      <c r="G21" s="117">
        <f t="shared" si="0"/>
        <v>2.7</v>
      </c>
    </row>
    <row r="22" spans="2:7">
      <c r="B22" s="94" t="s">
        <v>1493</v>
      </c>
      <c r="C22" s="95" t="s">
        <v>1506</v>
      </c>
      <c r="D22" s="78">
        <v>1</v>
      </c>
      <c r="E22" s="97">
        <v>10.45</v>
      </c>
      <c r="F22" s="78"/>
      <c r="G22" s="117">
        <f t="shared" si="0"/>
        <v>10.45</v>
      </c>
    </row>
    <row r="23" spans="2:7">
      <c r="B23" s="94" t="s">
        <v>1493</v>
      </c>
      <c r="C23" s="95" t="s">
        <v>1507</v>
      </c>
      <c r="D23" s="78">
        <v>1</v>
      </c>
      <c r="E23" s="97">
        <v>2.85</v>
      </c>
      <c r="F23" s="78"/>
      <c r="G23" s="117">
        <f t="shared" si="0"/>
        <v>2.85</v>
      </c>
    </row>
    <row r="24" spans="2:7">
      <c r="B24" s="94" t="s">
        <v>1493</v>
      </c>
      <c r="C24" s="95" t="s">
        <v>1508</v>
      </c>
      <c r="D24" s="78">
        <v>1</v>
      </c>
      <c r="E24" s="97">
        <v>125.72</v>
      </c>
      <c r="F24" s="78"/>
      <c r="G24" s="117">
        <f t="shared" si="0"/>
        <v>125.72</v>
      </c>
    </row>
    <row r="25" spans="2:7">
      <c r="B25" s="94" t="s">
        <v>1493</v>
      </c>
      <c r="C25" s="95" t="s">
        <v>1509</v>
      </c>
      <c r="D25" s="78">
        <v>1</v>
      </c>
      <c r="E25" s="97">
        <v>41.7</v>
      </c>
      <c r="F25" s="78"/>
      <c r="G25" s="117">
        <f t="shared" si="0"/>
        <v>41.7</v>
      </c>
    </row>
    <row r="26" spans="2:7">
      <c r="B26" s="94" t="s">
        <v>1493</v>
      </c>
      <c r="C26" s="95" t="s">
        <v>1510</v>
      </c>
      <c r="D26" s="78">
        <v>1</v>
      </c>
      <c r="E26" s="97">
        <v>6.51</v>
      </c>
      <c r="F26" s="78"/>
      <c r="G26" s="117">
        <f t="shared" si="0"/>
        <v>6.51</v>
      </c>
    </row>
    <row r="27" spans="2:7">
      <c r="B27" s="94" t="s">
        <v>1493</v>
      </c>
      <c r="C27" s="95" t="s">
        <v>1511</v>
      </c>
      <c r="D27" s="78">
        <v>1</v>
      </c>
      <c r="E27" s="97">
        <v>16.45</v>
      </c>
      <c r="F27" s="116"/>
      <c r="G27" s="117">
        <f t="shared" si="0"/>
        <v>16.45</v>
      </c>
    </row>
    <row r="28" spans="2:7">
      <c r="B28" s="94" t="s">
        <v>1493</v>
      </c>
      <c r="C28" s="95" t="s">
        <v>1512</v>
      </c>
      <c r="D28" s="78">
        <v>1</v>
      </c>
      <c r="E28" s="97">
        <v>10.02</v>
      </c>
      <c r="F28" s="116"/>
      <c r="G28" s="117">
        <f t="shared" si="0"/>
        <v>10.02</v>
      </c>
    </row>
    <row r="29" spans="2:7">
      <c r="B29" s="94" t="s">
        <v>1493</v>
      </c>
      <c r="C29" s="95" t="s">
        <v>1513</v>
      </c>
      <c r="D29" s="78">
        <v>1</v>
      </c>
      <c r="E29" s="97">
        <v>4.3600000000000003</v>
      </c>
      <c r="F29" s="78"/>
      <c r="G29" s="117">
        <f t="shared" si="0"/>
        <v>4.3600000000000003</v>
      </c>
    </row>
    <row r="30" spans="2:7">
      <c r="B30" s="94" t="s">
        <v>1493</v>
      </c>
      <c r="C30" s="95" t="s">
        <v>1499</v>
      </c>
      <c r="D30" s="78">
        <v>1</v>
      </c>
      <c r="E30" s="99">
        <v>7.21</v>
      </c>
      <c r="F30" s="78"/>
      <c r="G30" s="117">
        <f t="shared" si="0"/>
        <v>7.21</v>
      </c>
    </row>
    <row r="31" spans="2:7">
      <c r="B31" s="94" t="s">
        <v>1493</v>
      </c>
      <c r="C31" s="95" t="s">
        <v>1514</v>
      </c>
      <c r="D31" s="78">
        <v>1</v>
      </c>
      <c r="E31" s="97">
        <v>8.9</v>
      </c>
      <c r="F31" s="78"/>
      <c r="G31" s="117">
        <f t="shared" si="0"/>
        <v>8.9</v>
      </c>
    </row>
    <row r="32" spans="2:7">
      <c r="B32" s="94" t="s">
        <v>1493</v>
      </c>
      <c r="C32" s="95" t="s">
        <v>1515</v>
      </c>
      <c r="D32" s="78">
        <v>1</v>
      </c>
      <c r="E32" s="97">
        <v>5.42</v>
      </c>
      <c r="F32" s="78"/>
      <c r="G32" s="117">
        <f t="shared" si="0"/>
        <v>5.42</v>
      </c>
    </row>
    <row r="33" spans="2:7">
      <c r="B33" s="94" t="s">
        <v>1493</v>
      </c>
      <c r="C33" s="95" t="s">
        <v>1516</v>
      </c>
      <c r="D33" s="78">
        <v>1</v>
      </c>
      <c r="E33" s="97">
        <v>7.33</v>
      </c>
      <c r="F33" s="78"/>
      <c r="G33" s="117">
        <f t="shared" si="0"/>
        <v>7.33</v>
      </c>
    </row>
    <row r="34" spans="2:7">
      <c r="B34" s="94" t="s">
        <v>1493</v>
      </c>
      <c r="C34" s="95" t="s">
        <v>1517</v>
      </c>
      <c r="D34" s="78">
        <v>1</v>
      </c>
      <c r="E34" s="97">
        <v>3.12</v>
      </c>
      <c r="F34" s="78"/>
      <c r="G34" s="117">
        <f t="shared" si="0"/>
        <v>3.12</v>
      </c>
    </row>
    <row r="35" spans="2:7">
      <c r="B35" s="100" t="s">
        <v>1493</v>
      </c>
      <c r="C35" s="101" t="s">
        <v>1518</v>
      </c>
      <c r="D35" s="78">
        <v>1</v>
      </c>
      <c r="E35" s="102">
        <v>3.12</v>
      </c>
      <c r="F35" s="78"/>
      <c r="G35" s="117">
        <f t="shared" si="0"/>
        <v>3.12</v>
      </c>
    </row>
    <row r="36" spans="2:7">
      <c r="B36" s="119" t="s">
        <v>1493</v>
      </c>
      <c r="C36" s="120" t="s">
        <v>1519</v>
      </c>
      <c r="D36" s="78">
        <v>1</v>
      </c>
      <c r="E36" s="121">
        <v>38.979999999999997</v>
      </c>
      <c r="F36" s="78"/>
      <c r="G36" s="117">
        <f t="shared" si="0"/>
        <v>38.979999999999997</v>
      </c>
    </row>
    <row r="37" spans="2:7">
      <c r="B37" s="94" t="s">
        <v>1493</v>
      </c>
      <c r="C37" s="95" t="s">
        <v>1520</v>
      </c>
      <c r="D37" s="78">
        <v>1</v>
      </c>
      <c r="E37" s="97">
        <v>16.61</v>
      </c>
      <c r="F37" s="78"/>
      <c r="G37" s="117">
        <f t="shared" si="0"/>
        <v>16.61</v>
      </c>
    </row>
    <row r="38" spans="2:7">
      <c r="B38" s="94" t="s">
        <v>1493</v>
      </c>
      <c r="C38" s="95" t="s">
        <v>1519</v>
      </c>
      <c r="D38" s="78">
        <v>1</v>
      </c>
      <c r="E38" s="97">
        <v>38.979999999999997</v>
      </c>
      <c r="F38" s="78"/>
      <c r="G38" s="117">
        <f t="shared" si="0"/>
        <v>38.979999999999997</v>
      </c>
    </row>
    <row r="39" spans="2:7">
      <c r="B39" s="94" t="s">
        <v>1493</v>
      </c>
      <c r="C39" s="95" t="s">
        <v>1521</v>
      </c>
      <c r="D39" s="78">
        <v>1</v>
      </c>
      <c r="E39" s="97">
        <v>38.67</v>
      </c>
      <c r="F39" s="78"/>
      <c r="G39" s="117">
        <f t="shared" si="0"/>
        <v>38.67</v>
      </c>
    </row>
    <row r="40" spans="2:7">
      <c r="B40" s="94" t="s">
        <v>1493</v>
      </c>
      <c r="C40" s="95" t="s">
        <v>1522</v>
      </c>
      <c r="D40" s="78">
        <v>1</v>
      </c>
      <c r="E40" s="99">
        <v>18.72</v>
      </c>
      <c r="F40" s="78"/>
      <c r="G40" s="117">
        <f t="shared" si="0"/>
        <v>18.72</v>
      </c>
    </row>
    <row r="41" spans="2:7">
      <c r="B41" s="94" t="s">
        <v>1493</v>
      </c>
      <c r="C41" s="95" t="s">
        <v>1523</v>
      </c>
      <c r="D41" s="78">
        <v>1</v>
      </c>
      <c r="E41" s="97">
        <v>38.1</v>
      </c>
      <c r="F41" s="78"/>
      <c r="G41" s="117">
        <f t="shared" si="0"/>
        <v>38.1</v>
      </c>
    </row>
    <row r="42" spans="2:7">
      <c r="B42" s="94" t="s">
        <v>1493</v>
      </c>
      <c r="C42" s="95" t="s">
        <v>1524</v>
      </c>
      <c r="D42" s="78">
        <v>1</v>
      </c>
      <c r="E42" s="97">
        <v>38.700000000000003</v>
      </c>
      <c r="F42" s="78"/>
      <c r="G42" s="117">
        <f t="shared" si="0"/>
        <v>38.700000000000003</v>
      </c>
    </row>
    <row r="43" spans="2:7">
      <c r="B43" s="94" t="s">
        <v>1493</v>
      </c>
      <c r="C43" s="95" t="s">
        <v>1525</v>
      </c>
      <c r="D43" s="78">
        <v>1</v>
      </c>
      <c r="E43" s="97">
        <v>12.87</v>
      </c>
      <c r="F43" s="78"/>
      <c r="G43" s="117">
        <f t="shared" si="0"/>
        <v>12.87</v>
      </c>
    </row>
    <row r="44" spans="2:7">
      <c r="B44" s="94" t="s">
        <v>1493</v>
      </c>
      <c r="C44" s="95" t="s">
        <v>1526</v>
      </c>
      <c r="D44" s="78">
        <v>1</v>
      </c>
      <c r="E44" s="97">
        <v>3.77</v>
      </c>
      <c r="F44" s="78"/>
      <c r="G44" s="117">
        <f t="shared" ref="G44:G63" si="1">(E44-F44)*D44</f>
        <v>3.77</v>
      </c>
    </row>
    <row r="45" spans="2:7">
      <c r="B45" s="94" t="s">
        <v>1493</v>
      </c>
      <c r="C45" s="95" t="s">
        <v>1524</v>
      </c>
      <c r="D45" s="78">
        <v>1</v>
      </c>
      <c r="E45" s="97">
        <v>38.700000000000003</v>
      </c>
      <c r="F45" s="78"/>
      <c r="G45" s="117">
        <f t="shared" si="1"/>
        <v>38.700000000000003</v>
      </c>
    </row>
    <row r="46" spans="2:7">
      <c r="B46" s="94" t="s">
        <v>1493</v>
      </c>
      <c r="C46" s="95" t="s">
        <v>1527</v>
      </c>
      <c r="D46" s="78">
        <v>1</v>
      </c>
      <c r="E46" s="97">
        <v>8.27</v>
      </c>
      <c r="F46" s="78"/>
      <c r="G46" s="117">
        <f t="shared" si="1"/>
        <v>8.27</v>
      </c>
    </row>
    <row r="47" spans="2:7">
      <c r="B47" s="94" t="s">
        <v>1493</v>
      </c>
      <c r="C47" s="95" t="s">
        <v>1528</v>
      </c>
      <c r="D47" s="78">
        <v>1</v>
      </c>
      <c r="E47" s="97">
        <v>135.07</v>
      </c>
      <c r="F47" s="78"/>
      <c r="G47" s="117">
        <f t="shared" si="1"/>
        <v>135.07</v>
      </c>
    </row>
    <row r="48" spans="2:7">
      <c r="B48" s="94" t="s">
        <v>1493</v>
      </c>
      <c r="C48" s="95" t="s">
        <v>1529</v>
      </c>
      <c r="D48" s="78">
        <v>1</v>
      </c>
      <c r="E48" s="97">
        <v>12.63</v>
      </c>
      <c r="F48" s="78"/>
      <c r="G48" s="117">
        <f t="shared" si="1"/>
        <v>12.63</v>
      </c>
    </row>
    <row r="49" spans="2:7">
      <c r="B49" s="94" t="s">
        <v>1493</v>
      </c>
      <c r="C49" s="95" t="s">
        <v>1530</v>
      </c>
      <c r="D49" s="78">
        <v>1</v>
      </c>
      <c r="E49" s="97">
        <v>39.020000000000003</v>
      </c>
      <c r="F49" s="78"/>
      <c r="G49" s="117">
        <f t="shared" si="1"/>
        <v>39.020000000000003</v>
      </c>
    </row>
    <row r="50" spans="2:7">
      <c r="B50" s="94" t="s">
        <v>1493</v>
      </c>
      <c r="C50" s="95" t="s">
        <v>1520</v>
      </c>
      <c r="D50" s="78">
        <v>1</v>
      </c>
      <c r="E50" s="97">
        <v>18.86</v>
      </c>
      <c r="F50" s="78"/>
      <c r="G50" s="117">
        <f t="shared" si="1"/>
        <v>18.86</v>
      </c>
    </row>
    <row r="51" spans="2:7">
      <c r="B51" s="94" t="s">
        <v>1493</v>
      </c>
      <c r="C51" s="95" t="s">
        <v>1531</v>
      </c>
      <c r="D51" s="78">
        <v>1</v>
      </c>
      <c r="E51" s="97">
        <v>38.42</v>
      </c>
      <c r="F51" s="78"/>
      <c r="G51" s="117">
        <f t="shared" si="1"/>
        <v>38.42</v>
      </c>
    </row>
    <row r="52" spans="2:7">
      <c r="B52" s="94" t="s">
        <v>1493</v>
      </c>
      <c r="C52" s="95" t="s">
        <v>1532</v>
      </c>
      <c r="D52" s="78">
        <v>1</v>
      </c>
      <c r="E52" s="97">
        <v>38.96</v>
      </c>
      <c r="F52" s="78"/>
      <c r="G52" s="117">
        <f t="shared" si="1"/>
        <v>38.96</v>
      </c>
    </row>
    <row r="53" spans="2:7">
      <c r="B53" s="94" t="s">
        <v>1493</v>
      </c>
      <c r="C53" s="95" t="s">
        <v>1520</v>
      </c>
      <c r="D53" s="78">
        <v>1</v>
      </c>
      <c r="E53" s="97">
        <v>16.73</v>
      </c>
      <c r="F53" s="78"/>
      <c r="G53" s="117">
        <f t="shared" si="1"/>
        <v>16.73</v>
      </c>
    </row>
    <row r="54" spans="2:7">
      <c r="B54" s="100" t="s">
        <v>1493</v>
      </c>
      <c r="C54" s="101" t="s">
        <v>1532</v>
      </c>
      <c r="D54" s="78">
        <v>1</v>
      </c>
      <c r="E54" s="102">
        <v>38.96</v>
      </c>
      <c r="F54" s="78"/>
      <c r="G54" s="117">
        <f t="shared" si="1"/>
        <v>38.96</v>
      </c>
    </row>
    <row r="55" spans="2:7">
      <c r="B55" s="50"/>
      <c r="C55" s="122"/>
      <c r="D55" s="78"/>
      <c r="E55" s="97"/>
      <c r="F55" s="78"/>
      <c r="G55" s="117">
        <f t="shared" si="1"/>
        <v>0</v>
      </c>
    </row>
    <row r="56" spans="2:7">
      <c r="B56" s="50"/>
      <c r="C56" s="122"/>
      <c r="D56" s="78"/>
      <c r="E56" s="97"/>
      <c r="F56" s="116"/>
      <c r="G56" s="117">
        <f t="shared" si="1"/>
        <v>0</v>
      </c>
    </row>
    <row r="57" spans="2:7">
      <c r="B57" s="50"/>
      <c r="C57" s="122"/>
      <c r="D57" s="78"/>
      <c r="E57" s="97"/>
      <c r="F57" s="116"/>
      <c r="G57" s="117">
        <f t="shared" si="1"/>
        <v>0</v>
      </c>
    </row>
    <row r="58" spans="2:7">
      <c r="B58" s="50"/>
      <c r="C58" s="122"/>
      <c r="D58" s="78"/>
      <c r="E58" s="97"/>
      <c r="F58" s="116"/>
      <c r="G58" s="117">
        <f t="shared" si="1"/>
        <v>0</v>
      </c>
    </row>
    <row r="59" spans="2:7">
      <c r="B59" s="50"/>
      <c r="C59" s="122"/>
      <c r="D59" s="78"/>
      <c r="E59" s="97"/>
      <c r="F59" s="78"/>
      <c r="G59" s="117">
        <f t="shared" si="1"/>
        <v>0</v>
      </c>
    </row>
    <row r="60" spans="2:7">
      <c r="B60" s="50"/>
      <c r="C60" s="122"/>
      <c r="D60" s="78"/>
      <c r="E60" s="97"/>
      <c r="F60" s="116"/>
      <c r="G60" s="117">
        <f t="shared" si="1"/>
        <v>0</v>
      </c>
    </row>
    <row r="61" spans="2:7">
      <c r="B61" s="50"/>
      <c r="C61" s="122"/>
      <c r="D61" s="78"/>
      <c r="E61" s="97"/>
      <c r="F61" s="116"/>
      <c r="G61" s="117">
        <f t="shared" si="1"/>
        <v>0</v>
      </c>
    </row>
    <row r="62" spans="2:7">
      <c r="B62" s="50"/>
      <c r="C62" s="122"/>
      <c r="D62" s="78"/>
      <c r="E62" s="97"/>
      <c r="F62" s="116"/>
      <c r="G62" s="117">
        <f t="shared" si="1"/>
        <v>0</v>
      </c>
    </row>
    <row r="63" spans="2:7">
      <c r="B63" s="50"/>
      <c r="C63" s="122"/>
      <c r="D63" s="78"/>
      <c r="E63" s="97"/>
      <c r="F63" s="116"/>
      <c r="G63" s="117">
        <f t="shared" si="1"/>
        <v>0</v>
      </c>
    </row>
    <row r="64" spans="2:7">
      <c r="F64" s="54" t="s">
        <v>1376</v>
      </c>
      <c r="G64" s="123">
        <f>SUM(G12:G63)</f>
        <v>1039.56</v>
      </c>
    </row>
    <row r="65" spans="6:8">
      <c r="F65" s="54" t="s">
        <v>1925</v>
      </c>
      <c r="G65" s="123">
        <f>ROUND(G64*1.05,2)</f>
        <v>1091.54</v>
      </c>
      <c r="H65" t="s">
        <v>1551</v>
      </c>
    </row>
  </sheetData>
  <pageMargins left="0.51041666666666696" right="0.51041666666666696" top="0.78749999999999998" bottom="0.78749999999999998" header="0.51041666666666696" footer="0.51041666666666696"/>
  <pageSetup paperSize="9" scale="67" firstPageNumber="0" orientation="portrait" useFirstPageNumber="1" horizontalDpi="300" verticalDpi="300"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R60"/>
  <sheetViews>
    <sheetView showGridLines="0" view="pageBreakPreview" topLeftCell="A16" zoomScale="60" zoomScaleNormal="85" workbookViewId="0">
      <selection activeCell="K54" sqref="K54"/>
    </sheetView>
  </sheetViews>
  <sheetFormatPr defaultColWidth="9" defaultRowHeight="15"/>
  <cols>
    <col min="1" max="1" width="2.7109375" customWidth="1"/>
    <col min="2" max="2" width="15" customWidth="1"/>
    <col min="3" max="3" width="22.28515625" customWidth="1"/>
    <col min="4" max="4" width="16.140625" customWidth="1"/>
    <col min="5" max="5" width="13.42578125" customWidth="1"/>
    <col min="6" max="6" width="13.85546875" customWidth="1"/>
    <col min="7" max="7" width="13.28515625" customWidth="1"/>
    <col min="8" max="8" width="13.7109375" customWidth="1"/>
    <col min="9" max="9" width="14.7109375" customWidth="1"/>
    <col min="10" max="10" width="23.140625" customWidth="1"/>
    <col min="11" max="11" width="15.28515625" customWidth="1"/>
    <col min="12" max="1025" width="8.7109375" customWidth="1"/>
  </cols>
  <sheetData>
    <row r="1" spans="1:18">
      <c r="A1" t="s">
        <v>1449</v>
      </c>
      <c r="B1" s="33" t="s">
        <v>1450</v>
      </c>
      <c r="C1" s="89">
        <v>4.2</v>
      </c>
      <c r="D1">
        <v>2</v>
      </c>
      <c r="E1">
        <v>2.1</v>
      </c>
      <c r="I1" s="70" t="s">
        <v>1451</v>
      </c>
      <c r="J1" s="89">
        <v>0.6</v>
      </c>
      <c r="K1">
        <v>1</v>
      </c>
      <c r="L1">
        <v>0.6</v>
      </c>
      <c r="N1" t="s">
        <v>1452</v>
      </c>
    </row>
    <row r="2" spans="1:18">
      <c r="B2" s="33"/>
      <c r="C2" s="89"/>
      <c r="I2" s="70" t="s">
        <v>1453</v>
      </c>
      <c r="J2" s="89">
        <v>0.8</v>
      </c>
      <c r="K2">
        <v>1</v>
      </c>
      <c r="L2">
        <v>0.8</v>
      </c>
      <c r="O2" t="s">
        <v>1454</v>
      </c>
      <c r="P2" s="89">
        <v>1.68</v>
      </c>
      <c r="Q2">
        <v>0.8</v>
      </c>
      <c r="R2">
        <v>2.1</v>
      </c>
    </row>
    <row r="3" spans="1:18">
      <c r="B3" s="33"/>
      <c r="C3" s="89"/>
      <c r="I3" s="70" t="s">
        <v>1455</v>
      </c>
      <c r="J3" s="89">
        <v>1.2</v>
      </c>
      <c r="K3">
        <v>1.5</v>
      </c>
      <c r="L3">
        <v>0.8</v>
      </c>
      <c r="O3" t="s">
        <v>1456</v>
      </c>
      <c r="P3" s="89">
        <v>1.89</v>
      </c>
      <c r="Q3">
        <v>0.9</v>
      </c>
      <c r="R3">
        <v>2.1</v>
      </c>
    </row>
    <row r="4" spans="1:18">
      <c r="B4" s="33"/>
      <c r="C4" s="89"/>
      <c r="I4" s="70" t="s">
        <v>1457</v>
      </c>
      <c r="J4" s="89">
        <v>1.8</v>
      </c>
      <c r="K4">
        <v>1.5</v>
      </c>
      <c r="L4">
        <v>1.2</v>
      </c>
      <c r="O4" t="s">
        <v>1458</v>
      </c>
      <c r="P4" s="89">
        <v>1.89</v>
      </c>
      <c r="Q4">
        <v>0.9</v>
      </c>
      <c r="R4">
        <v>2.1</v>
      </c>
    </row>
    <row r="5" spans="1:18">
      <c r="B5" s="33"/>
      <c r="C5" s="89"/>
      <c r="I5" s="70" t="s">
        <v>1459</v>
      </c>
      <c r="J5" s="89">
        <v>2.31</v>
      </c>
      <c r="K5">
        <v>1.4</v>
      </c>
      <c r="L5">
        <v>1.65</v>
      </c>
      <c r="O5" t="s">
        <v>1460</v>
      </c>
      <c r="P5" s="89">
        <v>1.68</v>
      </c>
      <c r="Q5">
        <v>0.8</v>
      </c>
      <c r="R5">
        <v>2.1</v>
      </c>
    </row>
    <row r="6" spans="1:18">
      <c r="B6" s="33" t="s">
        <v>1461</v>
      </c>
      <c r="C6" s="89">
        <v>3.15</v>
      </c>
      <c r="D6">
        <v>1.5</v>
      </c>
      <c r="E6">
        <v>2.1</v>
      </c>
      <c r="I6" s="70"/>
      <c r="J6" s="89"/>
      <c r="O6" t="s">
        <v>1462</v>
      </c>
      <c r="P6" s="89">
        <f>3*3</f>
        <v>9</v>
      </c>
      <c r="Q6">
        <v>3</v>
      </c>
      <c r="R6">
        <v>3</v>
      </c>
    </row>
    <row r="7" spans="1:18">
      <c r="I7" s="70" t="s">
        <v>1463</v>
      </c>
      <c r="J7" s="89">
        <v>1.2</v>
      </c>
      <c r="K7">
        <v>2</v>
      </c>
      <c r="L7">
        <v>0.6</v>
      </c>
      <c r="O7" t="s">
        <v>1464</v>
      </c>
      <c r="P7" s="89">
        <f>3.5*2.5</f>
        <v>8.75</v>
      </c>
      <c r="Q7">
        <v>3.5</v>
      </c>
      <c r="R7">
        <v>2.5</v>
      </c>
    </row>
    <row r="8" spans="1:18">
      <c r="I8" s="70" t="s">
        <v>1465</v>
      </c>
      <c r="J8" s="89">
        <v>2.4</v>
      </c>
      <c r="K8">
        <v>2</v>
      </c>
      <c r="L8">
        <v>1.2</v>
      </c>
      <c r="O8" t="s">
        <v>1466</v>
      </c>
      <c r="P8" s="89">
        <v>8.8000000000000007</v>
      </c>
      <c r="Q8">
        <v>4</v>
      </c>
      <c r="R8">
        <v>2.2000000000000002</v>
      </c>
    </row>
    <row r="9" spans="1:18">
      <c r="I9" s="70" t="s">
        <v>1467</v>
      </c>
      <c r="J9" s="89">
        <f>2*1</f>
        <v>2</v>
      </c>
      <c r="K9">
        <v>2</v>
      </c>
      <c r="L9">
        <v>1</v>
      </c>
      <c r="O9" t="s">
        <v>1468</v>
      </c>
      <c r="P9" s="89">
        <v>11.75</v>
      </c>
      <c r="Q9">
        <v>4.7</v>
      </c>
      <c r="R9">
        <v>2.5</v>
      </c>
    </row>
    <row r="10" spans="1:18">
      <c r="I10" s="70" t="s">
        <v>1469</v>
      </c>
      <c r="J10" s="89">
        <f>2*1.65</f>
        <v>3.3</v>
      </c>
      <c r="K10">
        <v>2</v>
      </c>
      <c r="L10">
        <v>1.65</v>
      </c>
    </row>
    <row r="11" spans="1:18">
      <c r="I11" s="70" t="s">
        <v>1470</v>
      </c>
      <c r="J11" s="89">
        <f>2.5*0.9</f>
        <v>2.25</v>
      </c>
      <c r="K11">
        <v>2.5</v>
      </c>
      <c r="L11">
        <v>0.9</v>
      </c>
    </row>
    <row r="12" spans="1:18">
      <c r="I12" s="70" t="s">
        <v>1471</v>
      </c>
      <c r="J12" s="89">
        <v>3</v>
      </c>
      <c r="K12">
        <v>2.5</v>
      </c>
      <c r="L12">
        <v>1.2</v>
      </c>
    </row>
    <row r="13" spans="1:18">
      <c r="I13" s="70" t="s">
        <v>1472</v>
      </c>
      <c r="J13" s="89">
        <f>3*1.2</f>
        <v>3.5999999999999996</v>
      </c>
      <c r="K13">
        <v>3</v>
      </c>
      <c r="L13">
        <v>1.2</v>
      </c>
    </row>
    <row r="14" spans="1:18">
      <c r="I14" s="70"/>
      <c r="J14" s="89"/>
    </row>
    <row r="15" spans="1:18">
      <c r="D15" s="40"/>
      <c r="F15" s="41"/>
      <c r="G15" s="41"/>
      <c r="L15" s="64"/>
    </row>
    <row r="16" spans="1:18">
      <c r="D16" s="40"/>
      <c r="F16" s="41"/>
      <c r="G16" s="41"/>
      <c r="L16" s="64"/>
    </row>
    <row r="17" spans="1:13">
      <c r="D17" s="40"/>
      <c r="F17" s="41"/>
      <c r="G17" s="41"/>
      <c r="L17" s="64"/>
    </row>
    <row r="18" spans="1:13">
      <c r="D18" s="40"/>
      <c r="F18" s="41"/>
      <c r="G18" s="41"/>
      <c r="L18" s="64"/>
    </row>
    <row r="19" spans="1:13" ht="31.5">
      <c r="B19" s="4" t="s">
        <v>1926</v>
      </c>
      <c r="C19" s="4"/>
      <c r="D19" s="4"/>
      <c r="E19" s="4"/>
      <c r="F19" s="4"/>
      <c r="G19" s="4"/>
      <c r="L19" s="64"/>
    </row>
    <row r="20" spans="1:13" ht="18.75">
      <c r="B20" s="9"/>
      <c r="C20" s="13"/>
      <c r="D20" s="12"/>
      <c r="E20" s="13"/>
      <c r="I20" s="9"/>
      <c r="K20" s="13"/>
      <c r="L20" s="9"/>
      <c r="M20" s="64"/>
    </row>
    <row r="21" spans="1:13" ht="18.75">
      <c r="B21" s="5"/>
      <c r="C21" s="6"/>
      <c r="D21" s="7"/>
      <c r="E21" s="8"/>
      <c r="I21" s="5"/>
      <c r="K21" s="13"/>
      <c r="L21" s="5"/>
      <c r="M21" s="64"/>
    </row>
    <row r="22" spans="1:13" ht="18.75">
      <c r="B22" s="5"/>
      <c r="C22" s="6"/>
      <c r="D22" s="7"/>
      <c r="E22" s="8"/>
      <c r="I22" s="5"/>
      <c r="K22" s="13"/>
      <c r="L22" s="5"/>
      <c r="M22" s="64"/>
    </row>
    <row r="23" spans="1:13" ht="18.75">
      <c r="B23" s="5"/>
      <c r="C23" s="5"/>
      <c r="D23" s="7"/>
      <c r="E23" s="10"/>
      <c r="H23" s="5"/>
      <c r="K23" s="13"/>
      <c r="M23" s="64"/>
    </row>
    <row r="24" spans="1:13" ht="18.75">
      <c r="B24" s="5"/>
      <c r="C24" s="11"/>
      <c r="D24" s="12"/>
      <c r="E24" s="5"/>
      <c r="H24" s="13"/>
      <c r="K24" s="13"/>
      <c r="M24" s="64"/>
    </row>
    <row r="25" spans="1:13">
      <c r="A25" s="90"/>
      <c r="B25" s="90"/>
      <c r="C25" s="90"/>
      <c r="D25" s="70"/>
      <c r="E25" s="90"/>
      <c r="F25" s="90"/>
      <c r="G25" s="90"/>
    </row>
    <row r="26" spans="1:13" ht="38.25" customHeight="1">
      <c r="B26" s="91" t="s">
        <v>1480</v>
      </c>
      <c r="C26" s="91" t="s">
        <v>1481</v>
      </c>
      <c r="D26" s="91" t="s">
        <v>1482</v>
      </c>
      <c r="E26" s="92" t="s">
        <v>1927</v>
      </c>
      <c r="F26" s="93" t="s">
        <v>1484</v>
      </c>
      <c r="G26" s="93" t="s">
        <v>1928</v>
      </c>
      <c r="H26" s="92" t="s">
        <v>1924</v>
      </c>
      <c r="I26" s="43" t="s">
        <v>1929</v>
      </c>
      <c r="J26" s="43" t="s">
        <v>1930</v>
      </c>
      <c r="K26" s="109" t="s">
        <v>1930</v>
      </c>
    </row>
    <row r="27" spans="1:13">
      <c r="B27" s="94" t="s">
        <v>1493</v>
      </c>
      <c r="C27" s="95" t="s">
        <v>1502</v>
      </c>
      <c r="D27" s="96">
        <v>1</v>
      </c>
      <c r="E27" s="97">
        <v>2.8</v>
      </c>
      <c r="F27" s="97">
        <v>6.9</v>
      </c>
      <c r="G27" s="98">
        <v>0.2</v>
      </c>
      <c r="H27" s="97">
        <f>Q2*G27</f>
        <v>0.16000000000000003</v>
      </c>
      <c r="I27" s="110">
        <f t="shared" ref="I27:I49" si="0">((F27*G27)*D27)-H27</f>
        <v>1.2200000000000002</v>
      </c>
      <c r="J27" s="110">
        <f t="shared" ref="J27:J49" si="1">E27</f>
        <v>2.8</v>
      </c>
      <c r="K27" s="110"/>
    </row>
    <row r="28" spans="1:13">
      <c r="B28" s="94" t="s">
        <v>1493</v>
      </c>
      <c r="C28" s="95" t="s">
        <v>1504</v>
      </c>
      <c r="D28" s="96">
        <v>1</v>
      </c>
      <c r="E28" s="99">
        <v>2.7</v>
      </c>
      <c r="F28" s="99">
        <v>6.6</v>
      </c>
      <c r="G28" s="98">
        <v>0.2</v>
      </c>
      <c r="H28" s="97">
        <f>Q3*G28</f>
        <v>0.18000000000000002</v>
      </c>
      <c r="I28" s="110">
        <f t="shared" si="0"/>
        <v>1.1400000000000001</v>
      </c>
      <c r="J28" s="110">
        <f t="shared" si="1"/>
        <v>2.7</v>
      </c>
      <c r="K28" s="110"/>
    </row>
    <row r="29" spans="1:13">
      <c r="B29" s="94" t="s">
        <v>1493</v>
      </c>
      <c r="C29" s="95" t="s">
        <v>1505</v>
      </c>
      <c r="D29" s="96">
        <v>1</v>
      </c>
      <c r="E29" s="97">
        <v>2.7</v>
      </c>
      <c r="F29" s="97">
        <v>6.6</v>
      </c>
      <c r="G29" s="98">
        <v>0.2</v>
      </c>
      <c r="H29" s="97">
        <f>Q3*G29</f>
        <v>0.18000000000000002</v>
      </c>
      <c r="I29" s="110">
        <f t="shared" si="0"/>
        <v>1.1400000000000001</v>
      </c>
      <c r="J29" s="110">
        <f t="shared" si="1"/>
        <v>2.7</v>
      </c>
      <c r="K29" s="110"/>
    </row>
    <row r="30" spans="1:13">
      <c r="B30" s="94" t="s">
        <v>1493</v>
      </c>
      <c r="C30" s="95" t="s">
        <v>1507</v>
      </c>
      <c r="D30" s="96">
        <v>1</v>
      </c>
      <c r="E30" s="97">
        <v>2.85</v>
      </c>
      <c r="F30" s="97">
        <v>6.85</v>
      </c>
      <c r="G30" s="98">
        <v>0.2</v>
      </c>
      <c r="H30" s="97">
        <f>Q2*G30</f>
        <v>0.16000000000000003</v>
      </c>
      <c r="I30" s="110">
        <f t="shared" si="0"/>
        <v>1.21</v>
      </c>
      <c r="J30" s="110">
        <f t="shared" si="1"/>
        <v>2.85</v>
      </c>
      <c r="K30" s="110"/>
    </row>
    <row r="31" spans="1:13">
      <c r="B31" s="94" t="s">
        <v>1493</v>
      </c>
      <c r="C31" s="95" t="s">
        <v>1508</v>
      </c>
      <c r="D31" s="96">
        <v>1</v>
      </c>
      <c r="E31" s="97">
        <v>125.72</v>
      </c>
      <c r="F31" s="97">
        <v>48.53</v>
      </c>
      <c r="G31" s="98">
        <v>0.2</v>
      </c>
      <c r="H31" s="97">
        <f>(G31*(Q8+Q3))+(G31*(7.72+5.61))</f>
        <v>3.6460000000000004</v>
      </c>
      <c r="I31" s="110">
        <f t="shared" si="0"/>
        <v>6.0600000000000005</v>
      </c>
      <c r="J31" s="110">
        <f t="shared" si="1"/>
        <v>125.72</v>
      </c>
      <c r="K31" s="110"/>
    </row>
    <row r="32" spans="1:13">
      <c r="B32" s="94" t="s">
        <v>1493</v>
      </c>
      <c r="C32" s="95" t="s">
        <v>1509</v>
      </c>
      <c r="D32" s="96">
        <v>1</v>
      </c>
      <c r="E32" s="97">
        <v>41.7</v>
      </c>
      <c r="F32" s="97">
        <v>36.409999999999997</v>
      </c>
      <c r="G32" s="98">
        <v>0.2</v>
      </c>
      <c r="H32" s="97">
        <f>Q5*G32</f>
        <v>0.16000000000000003</v>
      </c>
      <c r="I32" s="110">
        <f t="shared" si="0"/>
        <v>7.1219999999999999</v>
      </c>
      <c r="J32" s="110">
        <f t="shared" si="1"/>
        <v>41.7</v>
      </c>
      <c r="K32" s="110"/>
    </row>
    <row r="33" spans="2:11">
      <c r="B33" s="94" t="s">
        <v>1493</v>
      </c>
      <c r="C33" s="95" t="s">
        <v>1510</v>
      </c>
      <c r="D33" s="96">
        <v>1</v>
      </c>
      <c r="E33" s="97">
        <v>6.51</v>
      </c>
      <c r="F33" s="97">
        <v>10.41</v>
      </c>
      <c r="G33" s="98">
        <v>0.2</v>
      </c>
      <c r="H33" s="97">
        <f>Q3*G33</f>
        <v>0.18000000000000002</v>
      </c>
      <c r="I33" s="110">
        <f t="shared" si="0"/>
        <v>1.9020000000000004</v>
      </c>
      <c r="J33" s="110">
        <f t="shared" si="1"/>
        <v>6.51</v>
      </c>
      <c r="K33" s="110"/>
    </row>
    <row r="34" spans="2:11">
      <c r="B34" s="94" t="s">
        <v>1493</v>
      </c>
      <c r="C34" s="95" t="s">
        <v>1511</v>
      </c>
      <c r="D34" s="96">
        <v>1</v>
      </c>
      <c r="E34" s="97">
        <v>16.45</v>
      </c>
      <c r="F34" s="97">
        <v>16.77</v>
      </c>
      <c r="G34" s="98">
        <v>0.2</v>
      </c>
      <c r="H34" s="97">
        <f>Q3*G34</f>
        <v>0.18000000000000002</v>
      </c>
      <c r="I34" s="110">
        <f t="shared" si="0"/>
        <v>3.1739999999999999</v>
      </c>
      <c r="J34" s="110">
        <f t="shared" si="1"/>
        <v>16.45</v>
      </c>
      <c r="K34" s="110"/>
    </row>
    <row r="35" spans="2:11">
      <c r="B35" s="94" t="s">
        <v>1493</v>
      </c>
      <c r="C35" s="95" t="s">
        <v>1512</v>
      </c>
      <c r="D35" s="96">
        <v>1</v>
      </c>
      <c r="E35" s="97">
        <v>10.02</v>
      </c>
      <c r="F35" s="97">
        <v>13.17</v>
      </c>
      <c r="G35" s="98">
        <v>0.2</v>
      </c>
      <c r="H35" s="97">
        <f>((Q5+Q3)*G35)+((1+1)*G35)</f>
        <v>0.7400000000000001</v>
      </c>
      <c r="I35" s="110">
        <f t="shared" si="0"/>
        <v>1.8940000000000001</v>
      </c>
      <c r="J35" s="110">
        <f t="shared" si="1"/>
        <v>10.02</v>
      </c>
      <c r="K35" s="110"/>
    </row>
    <row r="36" spans="2:11">
      <c r="B36" s="94" t="s">
        <v>1493</v>
      </c>
      <c r="C36" s="95" t="s">
        <v>1513</v>
      </c>
      <c r="D36" s="96">
        <v>1</v>
      </c>
      <c r="E36" s="97">
        <v>4.3600000000000003</v>
      </c>
      <c r="F36" s="97">
        <v>8.39</v>
      </c>
      <c r="G36" s="98">
        <v>0.2</v>
      </c>
      <c r="H36" s="97">
        <f>(Q3*G36)+(1*G36)</f>
        <v>0.38</v>
      </c>
      <c r="I36" s="110">
        <f t="shared" si="0"/>
        <v>1.298</v>
      </c>
      <c r="J36" s="110">
        <f t="shared" si="1"/>
        <v>4.3600000000000003</v>
      </c>
      <c r="K36" s="110"/>
    </row>
    <row r="37" spans="2:11">
      <c r="B37" s="94" t="s">
        <v>1493</v>
      </c>
      <c r="C37" s="95" t="s">
        <v>1499</v>
      </c>
      <c r="D37" s="96">
        <v>1</v>
      </c>
      <c r="E37" s="99">
        <v>7.21</v>
      </c>
      <c r="F37" s="99">
        <v>15.8</v>
      </c>
      <c r="G37" s="98">
        <v>0.2</v>
      </c>
      <c r="H37" s="97">
        <f>(1*G37)+((Q3+Q3+Q3+Q2+Q2)*G37)+(1*G37)</f>
        <v>1.26</v>
      </c>
      <c r="I37" s="110">
        <f t="shared" si="0"/>
        <v>1.9000000000000001</v>
      </c>
      <c r="J37" s="110">
        <f t="shared" si="1"/>
        <v>7.21</v>
      </c>
      <c r="K37" s="110"/>
    </row>
    <row r="38" spans="2:11">
      <c r="B38" s="94" t="s">
        <v>1493</v>
      </c>
      <c r="C38" s="95" t="s">
        <v>1514</v>
      </c>
      <c r="D38" s="96">
        <v>1</v>
      </c>
      <c r="E38" s="97">
        <v>8.9</v>
      </c>
      <c r="F38" s="97">
        <v>12.03</v>
      </c>
      <c r="G38" s="98">
        <v>0.2</v>
      </c>
      <c r="H38" s="97">
        <f>Q3*G38</f>
        <v>0.18000000000000002</v>
      </c>
      <c r="I38" s="110">
        <f t="shared" si="0"/>
        <v>2.226</v>
      </c>
      <c r="J38" s="110">
        <f t="shared" si="1"/>
        <v>8.9</v>
      </c>
      <c r="K38" s="110"/>
    </row>
    <row r="39" spans="2:11">
      <c r="B39" s="94" t="s">
        <v>1493</v>
      </c>
      <c r="C39" s="95" t="s">
        <v>1515</v>
      </c>
      <c r="D39" s="96">
        <v>1</v>
      </c>
      <c r="E39" s="97">
        <v>5.42</v>
      </c>
      <c r="F39" s="97">
        <v>10.119999999999999</v>
      </c>
      <c r="G39" s="98">
        <v>0.2</v>
      </c>
      <c r="H39" s="97">
        <f>Q3*G39</f>
        <v>0.18000000000000002</v>
      </c>
      <c r="I39" s="110">
        <f t="shared" si="0"/>
        <v>1.8440000000000001</v>
      </c>
      <c r="J39" s="110">
        <f t="shared" si="1"/>
        <v>5.42</v>
      </c>
      <c r="K39" s="110"/>
    </row>
    <row r="40" spans="2:11">
      <c r="B40" s="94" t="s">
        <v>1493</v>
      </c>
      <c r="C40" s="95" t="s">
        <v>1516</v>
      </c>
      <c r="D40" s="96">
        <v>1</v>
      </c>
      <c r="E40" s="97">
        <v>7.33</v>
      </c>
      <c r="F40" s="97">
        <v>10.83</v>
      </c>
      <c r="G40" s="98">
        <v>0.2</v>
      </c>
      <c r="H40" s="97">
        <f>Q3*G40</f>
        <v>0.18000000000000002</v>
      </c>
      <c r="I40" s="110">
        <f t="shared" si="0"/>
        <v>1.986</v>
      </c>
      <c r="J40" s="110">
        <f t="shared" si="1"/>
        <v>7.33</v>
      </c>
      <c r="K40" s="110"/>
    </row>
    <row r="41" spans="2:11">
      <c r="B41" s="94" t="s">
        <v>1493</v>
      </c>
      <c r="C41" s="95" t="s">
        <v>1517</v>
      </c>
      <c r="D41" s="96">
        <v>1</v>
      </c>
      <c r="E41" s="97">
        <v>3.12</v>
      </c>
      <c r="F41" s="97">
        <v>7.2</v>
      </c>
      <c r="G41" s="98">
        <v>0.2</v>
      </c>
      <c r="H41" s="97">
        <f>Q2*G41</f>
        <v>0.16000000000000003</v>
      </c>
      <c r="I41" s="110">
        <f t="shared" si="0"/>
        <v>1.2800000000000002</v>
      </c>
      <c r="J41" s="110">
        <f t="shared" si="1"/>
        <v>3.12</v>
      </c>
      <c r="K41" s="110"/>
    </row>
    <row r="42" spans="2:11">
      <c r="B42" s="100" t="s">
        <v>1493</v>
      </c>
      <c r="C42" s="101" t="s">
        <v>1518</v>
      </c>
      <c r="D42" s="96">
        <v>1</v>
      </c>
      <c r="E42" s="102">
        <v>3.12</v>
      </c>
      <c r="F42" s="102">
        <v>7.2</v>
      </c>
      <c r="G42" s="98">
        <v>0.2</v>
      </c>
      <c r="H42" s="97">
        <f>Q2*G42</f>
        <v>0.16000000000000003</v>
      </c>
      <c r="I42" s="110">
        <f t="shared" si="0"/>
        <v>1.2800000000000002</v>
      </c>
      <c r="J42" s="110">
        <f t="shared" si="1"/>
        <v>3.12</v>
      </c>
      <c r="K42" s="110"/>
    </row>
    <row r="43" spans="2:11">
      <c r="B43" s="94" t="s">
        <v>1493</v>
      </c>
      <c r="C43" s="95" t="s">
        <v>1520</v>
      </c>
      <c r="D43" s="96">
        <v>1</v>
      </c>
      <c r="E43" s="97">
        <v>16.61</v>
      </c>
      <c r="F43" s="97">
        <v>21.94</v>
      </c>
      <c r="G43" s="98">
        <v>0.2</v>
      </c>
      <c r="H43" s="97">
        <f>(Q3+Q3)*G43</f>
        <v>0.36000000000000004</v>
      </c>
      <c r="I43" s="110">
        <f t="shared" si="0"/>
        <v>4.0280000000000005</v>
      </c>
      <c r="J43" s="110">
        <f t="shared" si="1"/>
        <v>16.61</v>
      </c>
      <c r="K43" s="110"/>
    </row>
    <row r="44" spans="2:11">
      <c r="B44" s="94" t="s">
        <v>1493</v>
      </c>
      <c r="C44" s="95" t="s">
        <v>1522</v>
      </c>
      <c r="D44" s="96">
        <v>1</v>
      </c>
      <c r="E44" s="99">
        <v>18.72</v>
      </c>
      <c r="F44" s="99">
        <v>19.2</v>
      </c>
      <c r="G44" s="98">
        <v>0.2</v>
      </c>
      <c r="H44" s="97">
        <f>Q3*G44</f>
        <v>0.18000000000000002</v>
      </c>
      <c r="I44" s="110">
        <f t="shared" si="0"/>
        <v>3.6599999999999997</v>
      </c>
      <c r="J44" s="110">
        <f t="shared" si="1"/>
        <v>18.72</v>
      </c>
      <c r="K44" s="110"/>
    </row>
    <row r="45" spans="2:11">
      <c r="B45" s="94" t="s">
        <v>1493</v>
      </c>
      <c r="C45" s="95" t="s">
        <v>1525</v>
      </c>
      <c r="D45" s="96">
        <v>1</v>
      </c>
      <c r="E45" s="97">
        <v>12.87</v>
      </c>
      <c r="F45" s="97">
        <v>15.4</v>
      </c>
      <c r="G45" s="98">
        <v>0.2</v>
      </c>
      <c r="H45" s="97">
        <f>(Q3+Q3+1)*G45</f>
        <v>0.55999999999999994</v>
      </c>
      <c r="I45" s="110">
        <f t="shared" si="0"/>
        <v>2.52</v>
      </c>
      <c r="J45" s="110">
        <f t="shared" si="1"/>
        <v>12.87</v>
      </c>
      <c r="K45" s="110"/>
    </row>
    <row r="46" spans="2:11">
      <c r="B46" s="94" t="s">
        <v>1493</v>
      </c>
      <c r="C46" s="95" t="s">
        <v>1861</v>
      </c>
      <c r="D46" s="96">
        <v>1</v>
      </c>
      <c r="E46" s="97">
        <v>8.27</v>
      </c>
      <c r="F46" s="97">
        <v>11.59</v>
      </c>
      <c r="G46" s="98">
        <v>0.2</v>
      </c>
      <c r="H46" s="97">
        <f>Q3*G46</f>
        <v>0.18000000000000002</v>
      </c>
      <c r="I46" s="110">
        <f t="shared" si="0"/>
        <v>2.1379999999999999</v>
      </c>
      <c r="J46" s="110">
        <f t="shared" si="1"/>
        <v>8.27</v>
      </c>
      <c r="K46" s="110"/>
    </row>
    <row r="47" spans="2:11">
      <c r="B47" s="94" t="s">
        <v>1493</v>
      </c>
      <c r="C47" s="95" t="s">
        <v>1529</v>
      </c>
      <c r="D47" s="96">
        <v>1</v>
      </c>
      <c r="E47" s="97">
        <v>12.63</v>
      </c>
      <c r="F47" s="97">
        <v>18.87</v>
      </c>
      <c r="G47" s="98">
        <v>0.2</v>
      </c>
      <c r="H47" s="97">
        <f>1*G47</f>
        <v>0.2</v>
      </c>
      <c r="I47" s="110">
        <f t="shared" si="0"/>
        <v>3.5740000000000003</v>
      </c>
      <c r="J47" s="110">
        <f t="shared" si="1"/>
        <v>12.63</v>
      </c>
      <c r="K47" s="110"/>
    </row>
    <row r="48" spans="2:11">
      <c r="B48" s="94" t="s">
        <v>1493</v>
      </c>
      <c r="C48" s="95" t="s">
        <v>1520</v>
      </c>
      <c r="D48" s="96">
        <v>1</v>
      </c>
      <c r="E48" s="97">
        <v>18.86</v>
      </c>
      <c r="F48" s="97">
        <v>19.29</v>
      </c>
      <c r="G48" s="98">
        <v>0.2</v>
      </c>
      <c r="H48" s="97">
        <f>Q3*G48</f>
        <v>0.18000000000000002</v>
      </c>
      <c r="I48" s="110">
        <f t="shared" si="0"/>
        <v>3.6779999999999999</v>
      </c>
      <c r="J48" s="110">
        <f t="shared" si="1"/>
        <v>18.86</v>
      </c>
      <c r="K48" s="110"/>
    </row>
    <row r="49" spans="2:12">
      <c r="B49" s="94" t="s">
        <v>1493</v>
      </c>
      <c r="C49" s="95" t="s">
        <v>1520</v>
      </c>
      <c r="D49" s="96">
        <v>1</v>
      </c>
      <c r="E49" s="97">
        <v>16.73</v>
      </c>
      <c r="F49" s="97">
        <v>21.81</v>
      </c>
      <c r="G49" s="98">
        <v>0.2</v>
      </c>
      <c r="H49" s="97">
        <f>(Q3+Q3)*G49</f>
        <v>0.36000000000000004</v>
      </c>
      <c r="I49" s="110">
        <f t="shared" si="0"/>
        <v>4.0019999999999998</v>
      </c>
      <c r="J49" s="110">
        <f t="shared" si="1"/>
        <v>16.73</v>
      </c>
      <c r="K49" s="110"/>
    </row>
    <row r="50" spans="2:12">
      <c r="B50" s="50"/>
      <c r="C50" s="50"/>
      <c r="D50" s="96"/>
      <c r="E50" s="103"/>
      <c r="F50" s="103"/>
      <c r="G50" s="98"/>
      <c r="H50" s="97"/>
      <c r="I50" s="110"/>
      <c r="J50" s="110"/>
      <c r="K50" s="110"/>
    </row>
    <row r="51" spans="2:12">
      <c r="B51" s="50" t="s">
        <v>1541</v>
      </c>
      <c r="C51" s="50" t="s">
        <v>1545</v>
      </c>
      <c r="D51" s="96">
        <v>1</v>
      </c>
      <c r="E51" s="103"/>
      <c r="F51" s="103">
        <f>(43.42+52.87+50.39+56.85+75.7)</f>
        <v>279.23</v>
      </c>
      <c r="G51" s="98">
        <v>0.3</v>
      </c>
      <c r="H51" s="97"/>
      <c r="I51" s="110">
        <f>((F51*G51)*D51)-H51</f>
        <v>83.769000000000005</v>
      </c>
      <c r="J51" s="110">
        <f>E51</f>
        <v>0</v>
      </c>
      <c r="K51" s="110"/>
    </row>
    <row r="52" spans="2:12">
      <c r="B52" s="50" t="s">
        <v>1541</v>
      </c>
      <c r="C52" s="50" t="s">
        <v>1543</v>
      </c>
      <c r="D52" s="96">
        <v>1</v>
      </c>
      <c r="E52" s="103">
        <v>32.51</v>
      </c>
      <c r="F52" s="103">
        <v>24.59</v>
      </c>
      <c r="G52" s="98">
        <v>0.2</v>
      </c>
      <c r="H52" s="97">
        <f>Q3*G52</f>
        <v>0.18000000000000002</v>
      </c>
      <c r="I52" s="110">
        <f>((F52*G52)*D52)-H52</f>
        <v>4.7380000000000004</v>
      </c>
      <c r="J52" s="110"/>
      <c r="K52" s="110">
        <f>E52</f>
        <v>32.51</v>
      </c>
      <c r="L52" t="s">
        <v>1551</v>
      </c>
    </row>
    <row r="53" spans="2:12">
      <c r="B53" s="104" t="s">
        <v>1541</v>
      </c>
      <c r="C53" s="104" t="s">
        <v>1931</v>
      </c>
      <c r="D53" s="105">
        <v>1</v>
      </c>
      <c r="E53" s="106">
        <f>19.59+135.27+26.2+21.4</f>
        <v>202.46</v>
      </c>
      <c r="F53" s="106">
        <f>20.17+111.88+35.5+50.67</f>
        <v>218.22000000000003</v>
      </c>
      <c r="G53" s="107">
        <v>0.2</v>
      </c>
      <c r="H53" s="97"/>
      <c r="I53" s="110">
        <f>((F53*G53)*D53)-H53</f>
        <v>43.644000000000005</v>
      </c>
      <c r="J53" s="110"/>
      <c r="K53" s="110">
        <f>E53</f>
        <v>202.46</v>
      </c>
      <c r="L53" t="s">
        <v>1551</v>
      </c>
    </row>
    <row r="54" spans="2:12">
      <c r="H54" s="108" t="s">
        <v>1376</v>
      </c>
      <c r="I54" s="111">
        <f>SUM(I27:I53)</f>
        <v>192.42700000000002</v>
      </c>
      <c r="J54" s="111">
        <f>SUM(J27:J53)</f>
        <v>355.6</v>
      </c>
      <c r="K54" s="111">
        <f>SUM(K27:K53)</f>
        <v>234.97</v>
      </c>
    </row>
    <row r="57" spans="2:12" ht="56.25">
      <c r="I57" s="42" t="s">
        <v>1793</v>
      </c>
      <c r="J57" s="42" t="s">
        <v>1932</v>
      </c>
    </row>
    <row r="58" spans="2:12">
      <c r="I58" s="50" t="str">
        <f>I26</f>
        <v>Parede (m²)</v>
      </c>
      <c r="J58" s="62">
        <f>I54</f>
        <v>192.42700000000002</v>
      </c>
      <c r="K58" t="s">
        <v>1551</v>
      </c>
    </row>
    <row r="59" spans="2:12">
      <c r="I59" s="50" t="str">
        <f>J26</f>
        <v>Piso (m²)</v>
      </c>
      <c r="J59" s="62">
        <f>J54</f>
        <v>355.6</v>
      </c>
      <c r="K59" t="s">
        <v>1551</v>
      </c>
    </row>
    <row r="60" spans="2:12">
      <c r="I60" s="63" t="s">
        <v>1376</v>
      </c>
      <c r="J60" s="55">
        <f>ROUND(SUM(J58:J59)*1.05,2)</f>
        <v>575.42999999999995</v>
      </c>
      <c r="K60" t="s">
        <v>1551</v>
      </c>
    </row>
  </sheetData>
  <pageMargins left="0.51041666666666696" right="0.51041666666666696" top="0.51180555555555596" bottom="0.78749999999999998" header="0.235416666666667" footer="0.51041666666666696"/>
  <pageSetup paperSize="9" scale="50" firstPageNumber="0" orientation="landscape" useFirstPageNumber="1" horizontalDpi="300" verticalDpi="300" r:id="rId1"/>
  <drawing r:id="rId2"/>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1:M84"/>
  <sheetViews>
    <sheetView showGridLines="0" view="pageBreakPreview" topLeftCell="A59" zoomScaleNormal="90" workbookViewId="0">
      <selection activeCell="D86" sqref="D86"/>
    </sheetView>
  </sheetViews>
  <sheetFormatPr defaultColWidth="9" defaultRowHeight="15"/>
  <cols>
    <col min="1" max="1" width="2.7109375" customWidth="1"/>
    <col min="2" max="5" width="24.5703125" customWidth="1"/>
    <col min="6" max="7" width="17.7109375" customWidth="1"/>
    <col min="8" max="1025" width="8.7109375" customWidth="1"/>
  </cols>
  <sheetData>
    <row r="1" spans="2:13" ht="18.75">
      <c r="B1" s="5"/>
      <c r="C1" s="6"/>
      <c r="D1" s="7"/>
      <c r="E1" s="8"/>
      <c r="G1" s="9"/>
      <c r="K1" s="13"/>
      <c r="L1" s="5"/>
      <c r="M1" s="64"/>
    </row>
    <row r="2" spans="2:13" ht="18.75">
      <c r="B2" s="5"/>
      <c r="C2" s="5"/>
      <c r="D2" s="7"/>
      <c r="E2" s="10"/>
      <c r="G2" s="5"/>
      <c r="K2" s="13"/>
      <c r="L2" s="5"/>
      <c r="M2" s="64"/>
    </row>
    <row r="3" spans="2:13" ht="18.75">
      <c r="G3" s="5"/>
      <c r="H3" s="5"/>
      <c r="K3" s="13"/>
      <c r="M3" s="64"/>
    </row>
    <row r="4" spans="2:13">
      <c r="C4" s="70"/>
    </row>
    <row r="5" spans="2:13" ht="22.5" customHeight="1">
      <c r="B5" s="74" t="s">
        <v>1933</v>
      </c>
      <c r="C5" s="75"/>
      <c r="D5" s="76"/>
      <c r="E5" s="76"/>
    </row>
    <row r="6" spans="2:13" ht="37.5">
      <c r="B6" s="77" t="s">
        <v>1934</v>
      </c>
      <c r="C6" s="77" t="s">
        <v>1749</v>
      </c>
      <c r="D6" s="77" t="s">
        <v>1791</v>
      </c>
      <c r="E6" s="77" t="s">
        <v>1935</v>
      </c>
      <c r="F6" s="77" t="s">
        <v>1936</v>
      </c>
      <c r="G6" s="77" t="s">
        <v>1937</v>
      </c>
    </row>
    <row r="7" spans="2:13">
      <c r="B7" s="50" t="s">
        <v>1520</v>
      </c>
      <c r="C7" s="78">
        <v>0.7</v>
      </c>
      <c r="D7" s="78">
        <v>1.2</v>
      </c>
      <c r="E7" s="78">
        <v>0.19</v>
      </c>
      <c r="F7" s="78">
        <f t="shared" ref="F7:F21" si="0">((0.25)*C7)+((0.25)*D7)</f>
        <v>0.47499999999999998</v>
      </c>
      <c r="G7" s="62">
        <f t="shared" ref="G7:G21" si="1">(C7*D7)+E7+F7</f>
        <v>1.5049999999999999</v>
      </c>
    </row>
    <row r="8" spans="2:13">
      <c r="B8" s="50"/>
      <c r="C8" s="78">
        <v>0.6</v>
      </c>
      <c r="D8" s="78">
        <v>2.75</v>
      </c>
      <c r="E8">
        <v>0.33500000000000002</v>
      </c>
      <c r="F8" s="78">
        <f t="shared" si="0"/>
        <v>0.83750000000000002</v>
      </c>
      <c r="G8" s="62">
        <f t="shared" si="1"/>
        <v>2.8224999999999998</v>
      </c>
    </row>
    <row r="9" spans="2:13">
      <c r="B9" s="50" t="s">
        <v>1938</v>
      </c>
      <c r="C9" s="78">
        <v>0.55000000000000004</v>
      </c>
      <c r="D9" s="78">
        <v>3.6</v>
      </c>
      <c r="E9">
        <v>0.41499999999999998</v>
      </c>
      <c r="F9" s="78">
        <f t="shared" si="0"/>
        <v>1.0375000000000001</v>
      </c>
      <c r="G9" s="62">
        <f t="shared" si="1"/>
        <v>3.4325000000000001</v>
      </c>
    </row>
    <row r="10" spans="2:13">
      <c r="B10" s="50" t="s">
        <v>1525</v>
      </c>
      <c r="C10" s="78">
        <v>0.7</v>
      </c>
      <c r="D10" s="78">
        <v>3.75</v>
      </c>
      <c r="E10">
        <v>0.44500000000000001</v>
      </c>
      <c r="F10" s="78">
        <f t="shared" si="0"/>
        <v>1.1125</v>
      </c>
      <c r="G10" s="62">
        <f t="shared" si="1"/>
        <v>4.1825000000000001</v>
      </c>
    </row>
    <row r="11" spans="2:13">
      <c r="B11" s="50" t="s">
        <v>1939</v>
      </c>
      <c r="C11" s="78">
        <v>0.55000000000000004</v>
      </c>
      <c r="D11" s="78">
        <v>3.6</v>
      </c>
      <c r="E11">
        <v>0.41499999999999998</v>
      </c>
      <c r="F11" s="78">
        <f t="shared" si="0"/>
        <v>1.0375000000000001</v>
      </c>
      <c r="G11" s="62">
        <f t="shared" si="1"/>
        <v>3.4325000000000001</v>
      </c>
    </row>
    <row r="12" spans="2:13">
      <c r="B12" s="50" t="s">
        <v>1520</v>
      </c>
      <c r="C12" s="78">
        <v>0.6</v>
      </c>
      <c r="D12" s="78">
        <v>2.72</v>
      </c>
      <c r="E12">
        <v>0.33200000000000002</v>
      </c>
      <c r="F12" s="78">
        <f t="shared" si="0"/>
        <v>0.83000000000000007</v>
      </c>
      <c r="G12" s="62">
        <f t="shared" si="1"/>
        <v>2.7940000000000005</v>
      </c>
    </row>
    <row r="13" spans="2:13">
      <c r="B13" s="50"/>
      <c r="C13" s="78">
        <v>0.7</v>
      </c>
      <c r="D13" s="78">
        <v>1.4</v>
      </c>
      <c r="E13">
        <v>0.21</v>
      </c>
      <c r="F13" s="78">
        <f t="shared" si="0"/>
        <v>0.52499999999999991</v>
      </c>
      <c r="G13" s="62">
        <f t="shared" si="1"/>
        <v>1.7149999999999999</v>
      </c>
    </row>
    <row r="14" spans="2:13">
      <c r="B14" s="50" t="s">
        <v>1511</v>
      </c>
      <c r="C14" s="78">
        <v>0.6</v>
      </c>
      <c r="D14" s="78">
        <v>2.1</v>
      </c>
      <c r="E14">
        <v>0.27</v>
      </c>
      <c r="F14" s="78">
        <f t="shared" si="0"/>
        <v>0.67500000000000004</v>
      </c>
      <c r="G14" s="62">
        <f t="shared" si="1"/>
        <v>2.2050000000000001</v>
      </c>
    </row>
    <row r="15" spans="2:13">
      <c r="B15" s="50" t="s">
        <v>1509</v>
      </c>
      <c r="C15" s="78">
        <v>0.6</v>
      </c>
      <c r="D15" s="78">
        <v>2.1</v>
      </c>
      <c r="E15">
        <v>0.27</v>
      </c>
      <c r="F15" s="78">
        <f t="shared" si="0"/>
        <v>0.67500000000000004</v>
      </c>
      <c r="G15" s="62">
        <f t="shared" si="1"/>
        <v>2.2050000000000001</v>
      </c>
    </row>
    <row r="16" spans="2:13">
      <c r="B16" s="50"/>
      <c r="C16" s="78">
        <v>0.6</v>
      </c>
      <c r="D16" s="78">
        <v>4.07</v>
      </c>
      <c r="E16">
        <v>0.46700000000000003</v>
      </c>
      <c r="F16" s="78">
        <f t="shared" si="0"/>
        <v>1.1675</v>
      </c>
      <c r="G16" s="62">
        <f t="shared" si="1"/>
        <v>4.0765000000000002</v>
      </c>
    </row>
    <row r="17" spans="2:8">
      <c r="B17" s="50"/>
      <c r="C17" s="78">
        <v>0.6</v>
      </c>
      <c r="D17" s="78">
        <v>1.5</v>
      </c>
      <c r="E17">
        <v>0.21</v>
      </c>
      <c r="F17" s="78">
        <f t="shared" si="0"/>
        <v>0.52500000000000002</v>
      </c>
      <c r="G17" s="62">
        <f t="shared" si="1"/>
        <v>1.6349999999999998</v>
      </c>
    </row>
    <row r="18" spans="2:8">
      <c r="B18" s="50"/>
      <c r="C18" s="78">
        <v>0.6</v>
      </c>
      <c r="D18" s="78">
        <v>3.8</v>
      </c>
      <c r="E18">
        <v>0.44</v>
      </c>
      <c r="F18" s="78">
        <f t="shared" si="0"/>
        <v>1.0999999999999999</v>
      </c>
      <c r="G18" s="62">
        <f t="shared" si="1"/>
        <v>3.8199999999999994</v>
      </c>
    </row>
    <row r="19" spans="2:8">
      <c r="B19" s="50"/>
      <c r="C19" s="78">
        <v>0.6</v>
      </c>
      <c r="D19" s="78">
        <v>2.15</v>
      </c>
      <c r="E19">
        <v>0.27500000000000002</v>
      </c>
      <c r="F19" s="78">
        <f t="shared" si="0"/>
        <v>0.6875</v>
      </c>
      <c r="G19" s="62">
        <f t="shared" si="1"/>
        <v>2.2524999999999999</v>
      </c>
    </row>
    <row r="20" spans="2:8">
      <c r="B20" s="50" t="s">
        <v>1506</v>
      </c>
      <c r="C20" s="78">
        <v>0.6</v>
      </c>
      <c r="D20" s="78">
        <v>4.5</v>
      </c>
      <c r="E20">
        <v>0.51</v>
      </c>
      <c r="F20" s="78">
        <f t="shared" si="0"/>
        <v>1.2749999999999999</v>
      </c>
      <c r="G20" s="62">
        <f t="shared" si="1"/>
        <v>4.4849999999999994</v>
      </c>
    </row>
    <row r="21" spans="2:8">
      <c r="B21" s="50" t="s">
        <v>1494</v>
      </c>
      <c r="C21" s="78">
        <v>0.5</v>
      </c>
      <c r="D21" s="78">
        <v>3</v>
      </c>
      <c r="E21">
        <v>0.35</v>
      </c>
      <c r="F21" s="78">
        <f t="shared" si="0"/>
        <v>0.875</v>
      </c>
      <c r="G21" s="62">
        <f t="shared" si="1"/>
        <v>2.7250000000000001</v>
      </c>
    </row>
    <row r="22" spans="2:8">
      <c r="F22" s="79" t="s">
        <v>1376</v>
      </c>
      <c r="G22" s="55">
        <f>ROUND(SUM(G7:G21)*1.1,2)</f>
        <v>47.62</v>
      </c>
      <c r="H22" t="s">
        <v>1551</v>
      </c>
    </row>
    <row r="23" spans="2:8">
      <c r="F23" s="79"/>
      <c r="G23" s="54"/>
    </row>
    <row r="24" spans="2:8">
      <c r="F24" s="80"/>
      <c r="G24" s="81"/>
    </row>
    <row r="27" spans="2:8" ht="22.5" customHeight="1">
      <c r="B27" s="74" t="s">
        <v>1940</v>
      </c>
      <c r="C27" s="75"/>
      <c r="D27" s="13"/>
    </row>
    <row r="28" spans="2:8" ht="18.75">
      <c r="B28" s="14" t="s">
        <v>1893</v>
      </c>
      <c r="C28" s="14" t="s">
        <v>1824</v>
      </c>
      <c r="D28" s="14" t="s">
        <v>1842</v>
      </c>
      <c r="E28" s="14" t="s">
        <v>1482</v>
      </c>
      <c r="F28" s="14" t="s">
        <v>1941</v>
      </c>
    </row>
    <row r="29" spans="2:8">
      <c r="B29" s="45" t="s">
        <v>1454</v>
      </c>
      <c r="C29" s="45" t="s">
        <v>1894</v>
      </c>
      <c r="D29" s="45">
        <v>0.7</v>
      </c>
      <c r="E29" s="82">
        <v>4</v>
      </c>
      <c r="F29" s="78">
        <f t="shared" ref="F29:F37" si="2">D29*E29</f>
        <v>2.8</v>
      </c>
    </row>
    <row r="30" spans="2:8">
      <c r="B30" s="45" t="s">
        <v>1899</v>
      </c>
      <c r="C30" s="45" t="s">
        <v>1900</v>
      </c>
      <c r="D30" s="45">
        <v>0.8</v>
      </c>
      <c r="E30" s="82">
        <v>15</v>
      </c>
      <c r="F30" s="78">
        <f t="shared" si="2"/>
        <v>12</v>
      </c>
    </row>
    <row r="31" spans="2:8">
      <c r="B31" s="45" t="s">
        <v>1901</v>
      </c>
      <c r="C31" s="45" t="s">
        <v>1900</v>
      </c>
      <c r="D31" s="45">
        <v>0.8</v>
      </c>
      <c r="E31" s="82">
        <v>6</v>
      </c>
      <c r="F31" s="78">
        <f t="shared" si="2"/>
        <v>4.8000000000000007</v>
      </c>
    </row>
    <row r="32" spans="2:8">
      <c r="B32" s="45" t="s">
        <v>1458</v>
      </c>
      <c r="C32" s="45" t="s">
        <v>1900</v>
      </c>
      <c r="D32" s="45">
        <v>0.8</v>
      </c>
      <c r="E32" s="82">
        <v>1</v>
      </c>
      <c r="F32" s="78">
        <f t="shared" si="2"/>
        <v>0.8</v>
      </c>
    </row>
    <row r="33" spans="2:7">
      <c r="B33" s="45" t="s">
        <v>1460</v>
      </c>
      <c r="C33" s="45" t="s">
        <v>1900</v>
      </c>
      <c r="D33" s="45">
        <v>0.8</v>
      </c>
      <c r="E33" s="82">
        <v>16</v>
      </c>
      <c r="F33" s="78">
        <f t="shared" si="2"/>
        <v>12.8</v>
      </c>
    </row>
    <row r="34" spans="2:7">
      <c r="B34" s="45" t="s">
        <v>1462</v>
      </c>
      <c r="C34" s="45" t="s">
        <v>1905</v>
      </c>
      <c r="D34" s="45">
        <v>3</v>
      </c>
      <c r="E34" s="82">
        <v>4</v>
      </c>
      <c r="F34" s="78">
        <f t="shared" si="2"/>
        <v>12</v>
      </c>
    </row>
    <row r="35" spans="2:7">
      <c r="B35" s="45" t="s">
        <v>1464</v>
      </c>
      <c r="C35" s="45" t="s">
        <v>1907</v>
      </c>
      <c r="D35" s="45">
        <v>3.5</v>
      </c>
      <c r="E35" s="82">
        <v>2</v>
      </c>
      <c r="F35" s="78">
        <f t="shared" si="2"/>
        <v>7</v>
      </c>
    </row>
    <row r="36" spans="2:7">
      <c r="B36" s="45" t="s">
        <v>1466</v>
      </c>
      <c r="C36" s="45" t="s">
        <v>1909</v>
      </c>
      <c r="D36" s="45">
        <v>4</v>
      </c>
      <c r="E36" s="83">
        <v>11</v>
      </c>
      <c r="F36" s="78">
        <f t="shared" si="2"/>
        <v>44</v>
      </c>
    </row>
    <row r="37" spans="2:7">
      <c r="B37" s="45" t="s">
        <v>1468</v>
      </c>
      <c r="C37" s="45" t="s">
        <v>1910</v>
      </c>
      <c r="D37" s="45">
        <v>4.7</v>
      </c>
      <c r="E37" s="83">
        <v>1</v>
      </c>
      <c r="F37" s="78">
        <f t="shared" si="2"/>
        <v>4.7</v>
      </c>
    </row>
    <row r="38" spans="2:7">
      <c r="B38" s="50"/>
      <c r="C38" s="50"/>
      <c r="D38" s="50"/>
      <c r="E38" s="50"/>
      <c r="F38" s="78"/>
    </row>
    <row r="39" spans="2:7">
      <c r="B39" s="54" t="s">
        <v>1376</v>
      </c>
      <c r="C39" s="54"/>
      <c r="D39" s="54"/>
      <c r="E39" s="54"/>
      <c r="F39" s="55">
        <f>ROUND(SUM(F29:F38)*1.1,2)</f>
        <v>110.99</v>
      </c>
      <c r="G39" t="s">
        <v>1551</v>
      </c>
    </row>
    <row r="44" spans="2:7" ht="22.5" customHeight="1">
      <c r="B44" s="74" t="s">
        <v>1942</v>
      </c>
      <c r="C44" s="75"/>
      <c r="D44" s="13"/>
    </row>
    <row r="45" spans="2:7" ht="18.75">
      <c r="B45" s="14" t="s">
        <v>1877</v>
      </c>
      <c r="C45" s="14" t="s">
        <v>1824</v>
      </c>
      <c r="D45" s="14" t="s">
        <v>1842</v>
      </c>
      <c r="E45" s="14" t="s">
        <v>1482</v>
      </c>
      <c r="F45" s="14" t="s">
        <v>1943</v>
      </c>
    </row>
    <row r="46" spans="2:7">
      <c r="B46" s="45" t="s">
        <v>1450</v>
      </c>
      <c r="C46" s="45" t="s">
        <v>1878</v>
      </c>
      <c r="D46" s="45">
        <v>2</v>
      </c>
      <c r="E46" s="82">
        <v>2</v>
      </c>
      <c r="F46" s="78">
        <f t="shared" ref="F46:F60" si="3">D46*E46</f>
        <v>4</v>
      </c>
    </row>
    <row r="47" spans="2:7">
      <c r="B47" s="45" t="s">
        <v>1451</v>
      </c>
      <c r="C47" s="45" t="s">
        <v>1879</v>
      </c>
      <c r="D47" s="45">
        <v>1</v>
      </c>
      <c r="E47" s="82">
        <v>8</v>
      </c>
      <c r="F47" s="78">
        <f t="shared" si="3"/>
        <v>8</v>
      </c>
    </row>
    <row r="48" spans="2:7">
      <c r="B48" s="45" t="s">
        <v>1453</v>
      </c>
      <c r="C48" s="45" t="s">
        <v>1881</v>
      </c>
      <c r="D48" s="45">
        <v>1</v>
      </c>
      <c r="E48" s="82">
        <v>1</v>
      </c>
      <c r="F48" s="78">
        <f t="shared" si="3"/>
        <v>1</v>
      </c>
    </row>
    <row r="49" spans="2:7">
      <c r="B49" s="45" t="s">
        <v>1455</v>
      </c>
      <c r="C49" s="45" t="s">
        <v>1882</v>
      </c>
      <c r="D49" s="45">
        <v>1.5</v>
      </c>
      <c r="E49" s="82">
        <v>2</v>
      </c>
      <c r="F49" s="78">
        <f t="shared" si="3"/>
        <v>3</v>
      </c>
    </row>
    <row r="50" spans="2:7">
      <c r="B50" s="45" t="s">
        <v>1457</v>
      </c>
      <c r="C50" s="45" t="s">
        <v>1883</v>
      </c>
      <c r="D50" s="45">
        <v>1.5</v>
      </c>
      <c r="E50" s="82">
        <v>2</v>
      </c>
      <c r="F50" s="78">
        <f t="shared" si="3"/>
        <v>3</v>
      </c>
    </row>
    <row r="51" spans="2:7">
      <c r="B51" s="45" t="s">
        <v>1459</v>
      </c>
      <c r="C51" s="45" t="s">
        <v>1884</v>
      </c>
      <c r="D51" s="45">
        <v>1.4</v>
      </c>
      <c r="E51" s="82">
        <v>1</v>
      </c>
      <c r="F51" s="78">
        <f t="shared" si="3"/>
        <v>1.4</v>
      </c>
    </row>
    <row r="52" spans="2:7">
      <c r="B52" s="45" t="s">
        <v>1461</v>
      </c>
      <c r="C52" s="45" t="s">
        <v>1885</v>
      </c>
      <c r="D52" s="45">
        <v>1.5</v>
      </c>
      <c r="E52" s="82">
        <v>3</v>
      </c>
      <c r="F52" s="78">
        <f t="shared" si="3"/>
        <v>4.5</v>
      </c>
    </row>
    <row r="53" spans="2:7">
      <c r="B53" s="45" t="s">
        <v>1463</v>
      </c>
      <c r="C53" s="45" t="s">
        <v>1886</v>
      </c>
      <c r="D53" s="45">
        <v>2</v>
      </c>
      <c r="E53" s="82">
        <v>17</v>
      </c>
      <c r="F53" s="78">
        <f t="shared" si="3"/>
        <v>34</v>
      </c>
    </row>
    <row r="54" spans="2:7">
      <c r="B54" s="45" t="s">
        <v>1465</v>
      </c>
      <c r="C54" s="45" t="s">
        <v>1887</v>
      </c>
      <c r="D54" s="45">
        <v>2</v>
      </c>
      <c r="E54" s="82">
        <v>2</v>
      </c>
      <c r="F54" s="78">
        <f t="shared" si="3"/>
        <v>4</v>
      </c>
    </row>
    <row r="55" spans="2:7">
      <c r="B55" s="45" t="s">
        <v>1467</v>
      </c>
      <c r="C55" s="45" t="s">
        <v>1888</v>
      </c>
      <c r="D55" s="45">
        <v>2</v>
      </c>
      <c r="E55" s="82">
        <v>2</v>
      </c>
      <c r="F55" s="78">
        <f t="shared" si="3"/>
        <v>4</v>
      </c>
    </row>
    <row r="56" spans="2:7">
      <c r="B56" s="45" t="s">
        <v>1469</v>
      </c>
      <c r="C56" s="45" t="s">
        <v>1889</v>
      </c>
      <c r="D56" s="45">
        <v>2</v>
      </c>
      <c r="E56" s="82">
        <v>1</v>
      </c>
      <c r="F56" s="78">
        <f t="shared" si="3"/>
        <v>2</v>
      </c>
    </row>
    <row r="57" spans="2:7">
      <c r="B57" s="45" t="s">
        <v>1470</v>
      </c>
      <c r="C57" s="45" t="s">
        <v>1890</v>
      </c>
      <c r="D57" s="45">
        <v>2.5</v>
      </c>
      <c r="E57" s="82">
        <v>2</v>
      </c>
      <c r="F57" s="78">
        <f t="shared" si="3"/>
        <v>5</v>
      </c>
    </row>
    <row r="58" spans="2:7">
      <c r="B58" s="45" t="s">
        <v>1471</v>
      </c>
      <c r="C58" s="45" t="s">
        <v>1891</v>
      </c>
      <c r="D58" s="45">
        <v>2.5</v>
      </c>
      <c r="E58" s="82">
        <v>13</v>
      </c>
      <c r="F58" s="78">
        <f t="shared" si="3"/>
        <v>32.5</v>
      </c>
    </row>
    <row r="59" spans="2:7">
      <c r="B59" s="45" t="s">
        <v>1472</v>
      </c>
      <c r="C59" s="45" t="s">
        <v>1892</v>
      </c>
      <c r="D59" s="45">
        <v>3</v>
      </c>
      <c r="E59" s="82">
        <v>3</v>
      </c>
      <c r="F59" s="78">
        <f t="shared" si="3"/>
        <v>9</v>
      </c>
    </row>
    <row r="60" spans="2:7">
      <c r="B60" s="45"/>
      <c r="C60" s="45"/>
      <c r="D60" s="45"/>
      <c r="E60" s="82"/>
      <c r="F60" s="78">
        <f t="shared" si="3"/>
        <v>0</v>
      </c>
    </row>
    <row r="61" spans="2:7">
      <c r="B61" s="54" t="s">
        <v>1376</v>
      </c>
      <c r="C61" s="54"/>
      <c r="D61" s="54"/>
      <c r="E61" s="54"/>
      <c r="F61" s="55">
        <f>ROUND(SUM(F46:F60)*1.1,2)</f>
        <v>126.94</v>
      </c>
      <c r="G61" t="s">
        <v>1551</v>
      </c>
    </row>
    <row r="66" spans="2:7" ht="22.5" customHeight="1">
      <c r="B66" s="74" t="s">
        <v>1944</v>
      </c>
      <c r="C66" s="75"/>
      <c r="D66" s="13"/>
    </row>
    <row r="67" spans="2:7" ht="18.75">
      <c r="B67" s="14" t="s">
        <v>1480</v>
      </c>
      <c r="C67" s="14" t="s">
        <v>1791</v>
      </c>
      <c r="D67" s="14" t="s">
        <v>1749</v>
      </c>
      <c r="E67" s="14" t="s">
        <v>1482</v>
      </c>
      <c r="F67" s="14" t="s">
        <v>1483</v>
      </c>
      <c r="G67" s="84"/>
    </row>
    <row r="68" spans="2:7">
      <c r="B68" s="50" t="s">
        <v>1520</v>
      </c>
      <c r="C68" s="85">
        <v>1.8</v>
      </c>
      <c r="D68" s="85">
        <v>0.7</v>
      </c>
      <c r="E68" s="85">
        <v>3</v>
      </c>
      <c r="F68" s="85">
        <f t="shared" ref="F68:F73" si="4">C68*D68*E68</f>
        <v>3.7800000000000002</v>
      </c>
      <c r="G68" s="86"/>
    </row>
    <row r="69" spans="2:7">
      <c r="B69" s="50" t="s">
        <v>1938</v>
      </c>
      <c r="C69" s="85">
        <v>1.2</v>
      </c>
      <c r="D69" s="85">
        <v>1</v>
      </c>
      <c r="E69" s="85">
        <v>5</v>
      </c>
      <c r="F69" s="85">
        <f t="shared" si="4"/>
        <v>6</v>
      </c>
      <c r="G69" s="86"/>
    </row>
    <row r="70" spans="2:7">
      <c r="B70" s="50" t="s">
        <v>1939</v>
      </c>
      <c r="C70" s="85">
        <v>1.2</v>
      </c>
      <c r="D70" s="85">
        <v>1</v>
      </c>
      <c r="E70" s="85">
        <v>5</v>
      </c>
      <c r="F70" s="85">
        <f t="shared" si="4"/>
        <v>6</v>
      </c>
      <c r="G70" s="86"/>
    </row>
    <row r="71" spans="2:7">
      <c r="B71" s="50" t="s">
        <v>1520</v>
      </c>
      <c r="C71" s="85">
        <v>1.8</v>
      </c>
      <c r="D71" s="85">
        <v>0.7</v>
      </c>
      <c r="E71" s="85">
        <v>3</v>
      </c>
      <c r="F71" s="85">
        <f t="shared" si="4"/>
        <v>3.7800000000000002</v>
      </c>
      <c r="G71" s="86"/>
    </row>
    <row r="72" spans="2:7">
      <c r="B72" s="50"/>
      <c r="C72" s="87"/>
      <c r="D72" s="85"/>
      <c r="E72" s="85"/>
      <c r="F72" s="85">
        <f t="shared" si="4"/>
        <v>0</v>
      </c>
      <c r="G72" s="86"/>
    </row>
    <row r="73" spans="2:7">
      <c r="B73" s="50"/>
      <c r="C73" s="87"/>
      <c r="D73" s="85"/>
      <c r="E73" s="85"/>
      <c r="F73" s="85">
        <f t="shared" si="4"/>
        <v>0</v>
      </c>
      <c r="G73" s="86"/>
    </row>
    <row r="74" spans="2:7">
      <c r="B74" s="54" t="s">
        <v>1376</v>
      </c>
      <c r="C74" s="55"/>
      <c r="D74" s="55"/>
      <c r="E74" s="55"/>
      <c r="F74" s="55">
        <f>ROUND(SUM(F68:F73)*1.1,2)</f>
        <v>21.52</v>
      </c>
      <c r="G74" t="s">
        <v>1551</v>
      </c>
    </row>
    <row r="78" spans="2:7" ht="18.75">
      <c r="B78" s="1255" t="s">
        <v>1945</v>
      </c>
      <c r="C78" s="1255"/>
    </row>
    <row r="79" spans="2:7" ht="18.75">
      <c r="B79" s="77" t="s">
        <v>1480</v>
      </c>
      <c r="C79" s="77" t="s">
        <v>1791</v>
      </c>
    </row>
    <row r="80" spans="2:7">
      <c r="B80" s="50" t="s">
        <v>1520</v>
      </c>
      <c r="C80" s="85">
        <v>1.4</v>
      </c>
    </row>
    <row r="81" spans="2:3">
      <c r="B81" s="50" t="s">
        <v>1938</v>
      </c>
      <c r="C81" s="85">
        <v>1.05</v>
      </c>
    </row>
    <row r="82" spans="2:3">
      <c r="B82" s="50" t="s">
        <v>1939</v>
      </c>
      <c r="C82" s="85">
        <v>1.05</v>
      </c>
    </row>
    <row r="83" spans="2:3">
      <c r="B83" s="50" t="s">
        <v>1520</v>
      </c>
      <c r="C83" s="85">
        <v>1.55</v>
      </c>
    </row>
    <row r="84" spans="2:3">
      <c r="B84" s="54" t="s">
        <v>1376</v>
      </c>
      <c r="C84" s="88">
        <f>SUM(C80:C83)</f>
        <v>5.05</v>
      </c>
    </row>
  </sheetData>
  <mergeCells count="1">
    <mergeCell ref="B78:C78"/>
  </mergeCells>
  <pageMargins left="0.51041666666666696" right="0.51041666666666696" top="0.78749999999999998" bottom="0.78749999999999998" header="0.51041666666666696" footer="0.51041666666666696"/>
  <pageSetup paperSize="9" scale="63" firstPageNumber="0" orientation="portrait" useFirstPageNumber="1" horizontalDpi="300" verticalDpi="300" r:id="rId1"/>
  <ignoredErrors>
    <ignoredError sqref="F68" unlockedFormula="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1:M38"/>
  <sheetViews>
    <sheetView showGridLines="0" view="pageBreakPreview" topLeftCell="A20" zoomScale="115" zoomScaleNormal="90" workbookViewId="0">
      <selection activeCell="D38" sqref="D38"/>
    </sheetView>
  </sheetViews>
  <sheetFormatPr defaultColWidth="9" defaultRowHeight="15"/>
  <cols>
    <col min="1" max="1" width="2.7109375" customWidth="1"/>
    <col min="2" max="5" width="24.5703125" customWidth="1"/>
    <col min="6" max="6" width="6.28515625" customWidth="1"/>
    <col min="7" max="1025" width="8.7109375" customWidth="1"/>
  </cols>
  <sheetData>
    <row r="1" spans="2:13">
      <c r="D1" s="40"/>
      <c r="F1" s="41"/>
      <c r="G1" s="41"/>
      <c r="L1" s="64"/>
    </row>
    <row r="2" spans="2:13">
      <c r="D2" s="40"/>
      <c r="F2" s="41"/>
      <c r="G2" s="41"/>
      <c r="L2" s="64"/>
    </row>
    <row r="3" spans="2:13">
      <c r="D3" s="40"/>
      <c r="F3" s="41"/>
      <c r="G3" s="41"/>
      <c r="L3" s="64"/>
    </row>
    <row r="4" spans="2:13">
      <c r="D4" s="40"/>
      <c r="F4" s="41"/>
      <c r="G4" s="41"/>
      <c r="L4" s="64"/>
    </row>
    <row r="5" spans="2:13">
      <c r="D5" s="40"/>
      <c r="F5" s="41"/>
      <c r="G5" s="41"/>
      <c r="L5" s="64"/>
    </row>
    <row r="6" spans="2:13" ht="18.75">
      <c r="B6" s="9"/>
      <c r="C6" s="13"/>
      <c r="D6" s="12"/>
      <c r="E6" s="13"/>
      <c r="K6" s="13"/>
      <c r="L6" s="9"/>
      <c r="M6" s="64"/>
    </row>
    <row r="7" spans="2:13" ht="18.75">
      <c r="B7" s="5"/>
      <c r="C7" s="6"/>
      <c r="D7" s="7"/>
      <c r="E7" s="8"/>
      <c r="G7" s="9"/>
      <c r="K7" s="13"/>
      <c r="L7" s="5"/>
      <c r="M7" s="64"/>
    </row>
    <row r="8" spans="2:13" ht="18.75">
      <c r="B8" s="5"/>
      <c r="C8" s="5"/>
      <c r="D8" s="7"/>
      <c r="E8" s="10"/>
      <c r="G8" s="5"/>
      <c r="K8" s="13"/>
      <c r="L8" s="5"/>
      <c r="M8" s="64"/>
    </row>
    <row r="9" spans="2:13" ht="18.75">
      <c r="G9" s="5"/>
      <c r="K9" s="13"/>
      <c r="M9" s="64"/>
    </row>
    <row r="10" spans="2:13" ht="18.75">
      <c r="B10" s="5"/>
      <c r="C10" s="11"/>
      <c r="D10" s="12"/>
      <c r="E10" s="5"/>
      <c r="G10" s="5"/>
      <c r="H10" s="13"/>
      <c r="K10" s="13"/>
      <c r="M10" s="64"/>
    </row>
    <row r="13" spans="2:13" ht="18.75">
      <c r="B13" s="14" t="s">
        <v>1946</v>
      </c>
      <c r="C13" s="14" t="s">
        <v>1927</v>
      </c>
    </row>
    <row r="14" spans="2:13">
      <c r="B14" s="50" t="s">
        <v>1946</v>
      </c>
      <c r="C14" s="68">
        <f>((19.95+3.21)*1.7)*1.1</f>
        <v>43.309200000000004</v>
      </c>
    </row>
    <row r="15" spans="2:13">
      <c r="B15" s="54" t="s">
        <v>1376</v>
      </c>
      <c r="C15" s="69">
        <f>ROUND(SUM(C14:C14),2)</f>
        <v>43.31</v>
      </c>
      <c r="D15" t="s">
        <v>1551</v>
      </c>
    </row>
    <row r="16" spans="2:13">
      <c r="C16" s="70"/>
    </row>
    <row r="18" spans="2:4" ht="37.5">
      <c r="B18" s="43" t="s">
        <v>1947</v>
      </c>
      <c r="C18" s="43" t="s">
        <v>1948</v>
      </c>
    </row>
    <row r="19" spans="2:4">
      <c r="B19" s="71" t="s">
        <v>1949</v>
      </c>
      <c r="C19" s="72">
        <v>56.91</v>
      </c>
    </row>
    <row r="20" spans="2:4">
      <c r="B20" s="71" t="s">
        <v>1950</v>
      </c>
      <c r="C20" s="72">
        <v>56.08</v>
      </c>
    </row>
    <row r="21" spans="2:4">
      <c r="B21" s="71" t="s">
        <v>1951</v>
      </c>
      <c r="C21" s="72">
        <v>24.05</v>
      </c>
    </row>
    <row r="22" spans="2:4">
      <c r="B22" s="71" t="s">
        <v>1952</v>
      </c>
      <c r="C22" s="72">
        <v>23.59</v>
      </c>
    </row>
    <row r="23" spans="2:4">
      <c r="B23" s="71" t="s">
        <v>1953</v>
      </c>
      <c r="C23" s="72">
        <v>96.66</v>
      </c>
    </row>
    <row r="24" spans="2:4">
      <c r="B24" s="73" t="s">
        <v>1376</v>
      </c>
      <c r="C24" s="73">
        <f>ROUND(SUM(C19:C23),2)</f>
        <v>257.29000000000002</v>
      </c>
      <c r="D24" t="s">
        <v>1551</v>
      </c>
    </row>
    <row r="28" spans="2:4" ht="18.75">
      <c r="B28" s="14" t="s">
        <v>1954</v>
      </c>
      <c r="C28" s="14" t="s">
        <v>1927</v>
      </c>
    </row>
    <row r="29" spans="2:4">
      <c r="B29" s="50" t="s">
        <v>1955</v>
      </c>
      <c r="C29" s="68">
        <f>ROUND((619.25+40.38+41.11+86.84),2)</f>
        <v>787.58</v>
      </c>
      <c r="D29" t="s">
        <v>1551</v>
      </c>
    </row>
    <row r="30" spans="2:4">
      <c r="B30" s="50" t="s">
        <v>1956</v>
      </c>
      <c r="C30" s="68">
        <f>ROUND((115.24*1.1),2)</f>
        <v>126.76</v>
      </c>
      <c r="D30" t="s">
        <v>1551</v>
      </c>
    </row>
    <row r="31" spans="2:4">
      <c r="B31" s="50" t="s">
        <v>1957</v>
      </c>
      <c r="C31" s="68">
        <f>ROUND((64.72*0.4)*1.1,2)</f>
        <v>28.48</v>
      </c>
      <c r="D31" t="s">
        <v>1551</v>
      </c>
    </row>
    <row r="32" spans="2:4">
      <c r="B32" s="50" t="s">
        <v>1958</v>
      </c>
      <c r="C32" s="68">
        <v>134.21</v>
      </c>
      <c r="D32" t="s">
        <v>1551</v>
      </c>
    </row>
    <row r="33" spans="2:4">
      <c r="B33" s="54" t="s">
        <v>1376</v>
      </c>
      <c r="C33" s="69"/>
    </row>
    <row r="36" spans="2:4" ht="18.75">
      <c r="B36" s="14" t="s">
        <v>1959</v>
      </c>
      <c r="C36" s="14" t="s">
        <v>1960</v>
      </c>
      <c r="D36" s="14" t="s">
        <v>1927</v>
      </c>
    </row>
    <row r="37" spans="2:4">
      <c r="B37" s="50" t="s">
        <v>1961</v>
      </c>
      <c r="C37" s="68">
        <f>(2)*13</f>
        <v>26</v>
      </c>
      <c r="D37" s="68">
        <f>(0.15+0.15)*(2)*C38</f>
        <v>15.6</v>
      </c>
    </row>
    <row r="38" spans="2:4">
      <c r="B38" s="54" t="s">
        <v>1376</v>
      </c>
      <c r="C38" s="69">
        <f>C37</f>
        <v>26</v>
      </c>
      <c r="D38" s="69">
        <f>D37</f>
        <v>15.6</v>
      </c>
    </row>
  </sheetData>
  <pageMargins left="0.51041666666666696" right="0.51041666666666696" top="0.78749999999999998" bottom="0.78749999999999998" header="0.51041666666666696" footer="0.51041666666666696"/>
  <pageSetup paperSize="9" firstPageNumber="0" orientation="portrait" useFirstPageNumber="1"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1:M60"/>
  <sheetViews>
    <sheetView showGridLines="0" view="pageBreakPreview" topLeftCell="A16" zoomScaleNormal="90" workbookViewId="0">
      <selection activeCell="G45" sqref="G45"/>
    </sheetView>
  </sheetViews>
  <sheetFormatPr defaultColWidth="9" defaultRowHeight="15"/>
  <cols>
    <col min="1" max="1" width="2.7109375" customWidth="1"/>
    <col min="2" max="2" width="12" customWidth="1"/>
    <col min="3" max="3" width="15" customWidth="1"/>
    <col min="4" max="4" width="17.140625" customWidth="1"/>
    <col min="5" max="5" width="13.42578125" customWidth="1"/>
    <col min="6" max="6" width="18" customWidth="1"/>
    <col min="7" max="7" width="12" customWidth="1"/>
    <col min="8" max="8" width="14" customWidth="1"/>
    <col min="9" max="1025" width="8.7109375" customWidth="1"/>
  </cols>
  <sheetData>
    <row r="1" spans="2:13">
      <c r="D1" s="40"/>
      <c r="F1" s="41"/>
      <c r="G1" s="41"/>
      <c r="L1" s="64"/>
    </row>
    <row r="2" spans="2:13">
      <c r="D2" s="40"/>
      <c r="F2" s="41"/>
      <c r="G2" s="41"/>
      <c r="L2" s="64"/>
    </row>
    <row r="3" spans="2:13">
      <c r="D3" s="40"/>
      <c r="F3" s="41"/>
      <c r="G3" s="41"/>
      <c r="L3" s="64"/>
    </row>
    <row r="4" spans="2:13">
      <c r="D4" s="40"/>
      <c r="F4" s="41"/>
      <c r="G4" s="41"/>
      <c r="L4" s="64"/>
    </row>
    <row r="5" spans="2:13">
      <c r="D5" s="40"/>
      <c r="F5" s="41"/>
      <c r="G5" s="41"/>
      <c r="L5" s="64"/>
    </row>
    <row r="6" spans="2:13" ht="31.5">
      <c r="B6" s="4" t="s">
        <v>1962</v>
      </c>
      <c r="C6" s="4"/>
      <c r="D6" s="4"/>
      <c r="E6" s="4"/>
      <c r="G6" s="9"/>
      <c r="K6" s="13"/>
      <c r="L6" s="9"/>
      <c r="M6" s="64"/>
    </row>
    <row r="7" spans="2:13" ht="18.75">
      <c r="B7" s="5"/>
      <c r="C7" s="6"/>
      <c r="D7" s="7"/>
      <c r="E7" s="8"/>
      <c r="G7" s="5"/>
      <c r="K7" s="13"/>
      <c r="L7" s="5"/>
      <c r="M7" s="64"/>
    </row>
    <row r="8" spans="2:13" ht="18.75">
      <c r="B8" s="5"/>
      <c r="C8" s="6"/>
      <c r="D8" s="7"/>
      <c r="E8" s="8"/>
      <c r="G8" s="5"/>
      <c r="K8" s="13"/>
      <c r="L8" s="5"/>
      <c r="M8" s="64"/>
    </row>
    <row r="9" spans="2:13" ht="18.75">
      <c r="B9" s="5"/>
      <c r="C9" s="5"/>
      <c r="D9" s="7"/>
      <c r="E9" s="10"/>
      <c r="H9" s="5"/>
      <c r="K9" s="13"/>
      <c r="M9" s="64"/>
    </row>
    <row r="10" spans="2:13" ht="18.75">
      <c r="B10" s="5"/>
      <c r="C10" s="11"/>
      <c r="D10" s="12"/>
      <c r="E10" s="5"/>
      <c r="G10" s="5"/>
      <c r="H10" s="13"/>
      <c r="K10" s="13"/>
      <c r="M10" s="64"/>
    </row>
    <row r="11" spans="2:13" ht="37.5">
      <c r="B11" s="42" t="s">
        <v>1963</v>
      </c>
      <c r="C11" s="42" t="s">
        <v>1482</v>
      </c>
      <c r="D11" s="42" t="s">
        <v>1791</v>
      </c>
      <c r="E11" s="42" t="s">
        <v>1964</v>
      </c>
      <c r="F11" s="43" t="s">
        <v>1965</v>
      </c>
      <c r="G11" s="43" t="s">
        <v>1966</v>
      </c>
      <c r="H11" s="44"/>
    </row>
    <row r="12" spans="2:13">
      <c r="B12" s="45" t="s">
        <v>1454</v>
      </c>
      <c r="C12" s="46">
        <v>4</v>
      </c>
      <c r="D12" s="46">
        <v>0.7</v>
      </c>
      <c r="E12" s="47">
        <f t="shared" ref="E12:E21" si="0">D12+0.3</f>
        <v>1</v>
      </c>
      <c r="F12" s="48">
        <f t="shared" ref="F12:F22" si="1">C12</f>
        <v>4</v>
      </c>
      <c r="G12" s="49">
        <f t="shared" ref="G12:G22" si="2">E12*F12</f>
        <v>4</v>
      </c>
      <c r="I12" s="65"/>
      <c r="J12" s="65"/>
      <c r="K12" s="66"/>
    </row>
    <row r="13" spans="2:13">
      <c r="B13" s="45" t="s">
        <v>1899</v>
      </c>
      <c r="C13" s="46">
        <v>15</v>
      </c>
      <c r="D13" s="46">
        <v>0.8</v>
      </c>
      <c r="E13" s="47">
        <f t="shared" si="0"/>
        <v>1.1000000000000001</v>
      </c>
      <c r="F13" s="48">
        <f t="shared" si="1"/>
        <v>15</v>
      </c>
      <c r="G13" s="49">
        <f t="shared" si="2"/>
        <v>16.5</v>
      </c>
      <c r="I13" s="65"/>
      <c r="J13" s="65"/>
      <c r="K13" s="66"/>
    </row>
    <row r="14" spans="2:13">
      <c r="B14" s="45" t="s">
        <v>1901</v>
      </c>
      <c r="C14" s="46">
        <v>6</v>
      </c>
      <c r="D14" s="46">
        <v>0.8</v>
      </c>
      <c r="E14" s="47">
        <f t="shared" si="0"/>
        <v>1.1000000000000001</v>
      </c>
      <c r="F14" s="48">
        <f t="shared" si="1"/>
        <v>6</v>
      </c>
      <c r="G14" s="49">
        <f t="shared" si="2"/>
        <v>6.6000000000000005</v>
      </c>
      <c r="I14" s="65"/>
      <c r="J14" s="65"/>
      <c r="K14" s="66"/>
    </row>
    <row r="15" spans="2:13">
      <c r="B15" s="45" t="s">
        <v>1458</v>
      </c>
      <c r="C15" s="46">
        <v>1</v>
      </c>
      <c r="D15" s="46">
        <v>0.8</v>
      </c>
      <c r="E15" s="47">
        <f t="shared" si="0"/>
        <v>1.1000000000000001</v>
      </c>
      <c r="F15" s="48">
        <f t="shared" si="1"/>
        <v>1</v>
      </c>
      <c r="G15" s="49">
        <f t="shared" si="2"/>
        <v>1.1000000000000001</v>
      </c>
      <c r="I15" s="65"/>
      <c r="J15" s="65"/>
      <c r="K15" s="66"/>
    </row>
    <row r="16" spans="2:13">
      <c r="B16" s="45" t="s">
        <v>1460</v>
      </c>
      <c r="C16" s="46">
        <v>16</v>
      </c>
      <c r="D16" s="46">
        <v>0.8</v>
      </c>
      <c r="E16" s="47">
        <f t="shared" si="0"/>
        <v>1.1000000000000001</v>
      </c>
      <c r="F16" s="48">
        <f t="shared" si="1"/>
        <v>16</v>
      </c>
      <c r="G16" s="49">
        <f t="shared" si="2"/>
        <v>17.600000000000001</v>
      </c>
      <c r="I16" s="65"/>
      <c r="J16" s="65"/>
      <c r="K16" s="66"/>
    </row>
    <row r="17" spans="2:11">
      <c r="B17" s="45" t="s">
        <v>1462</v>
      </c>
      <c r="C17" s="46">
        <v>4</v>
      </c>
      <c r="D17" s="46">
        <v>3</v>
      </c>
      <c r="E17" s="47">
        <f t="shared" si="0"/>
        <v>3.3</v>
      </c>
      <c r="F17" s="48">
        <f t="shared" si="1"/>
        <v>4</v>
      </c>
      <c r="G17" s="49">
        <f t="shared" si="2"/>
        <v>13.2</v>
      </c>
      <c r="I17" s="65"/>
      <c r="J17" s="65"/>
      <c r="K17" s="66"/>
    </row>
    <row r="18" spans="2:11">
      <c r="B18" s="45" t="s">
        <v>1464</v>
      </c>
      <c r="C18" s="46">
        <v>2</v>
      </c>
      <c r="D18" s="46">
        <v>3.5</v>
      </c>
      <c r="E18" s="47">
        <f t="shared" si="0"/>
        <v>3.8</v>
      </c>
      <c r="F18" s="48">
        <f t="shared" si="1"/>
        <v>2</v>
      </c>
      <c r="G18" s="49">
        <f t="shared" si="2"/>
        <v>7.6</v>
      </c>
      <c r="I18" s="65"/>
      <c r="J18" s="65"/>
      <c r="K18" s="66"/>
    </row>
    <row r="19" spans="2:11">
      <c r="B19" s="45" t="s">
        <v>1466</v>
      </c>
      <c r="C19" s="46">
        <v>11</v>
      </c>
      <c r="D19" s="46">
        <v>4</v>
      </c>
      <c r="E19" s="47">
        <f t="shared" si="0"/>
        <v>4.3</v>
      </c>
      <c r="F19" s="48">
        <f t="shared" si="1"/>
        <v>11</v>
      </c>
      <c r="G19" s="49">
        <f t="shared" si="2"/>
        <v>47.3</v>
      </c>
      <c r="I19" s="65"/>
      <c r="J19" s="65"/>
      <c r="K19" s="67"/>
    </row>
    <row r="20" spans="2:11">
      <c r="B20" s="45" t="s">
        <v>1468</v>
      </c>
      <c r="C20" s="46">
        <v>1</v>
      </c>
      <c r="D20" s="46">
        <v>4.7</v>
      </c>
      <c r="E20" s="47">
        <f t="shared" si="0"/>
        <v>5</v>
      </c>
      <c r="F20" s="48">
        <f t="shared" si="1"/>
        <v>1</v>
      </c>
      <c r="G20" s="49">
        <f t="shared" si="2"/>
        <v>5</v>
      </c>
      <c r="I20" s="65"/>
      <c r="J20" s="65"/>
      <c r="K20" s="67"/>
    </row>
    <row r="21" spans="2:11">
      <c r="B21" s="45">
        <v>11</v>
      </c>
      <c r="C21" s="46">
        <v>8</v>
      </c>
      <c r="D21" s="46">
        <v>0.6</v>
      </c>
      <c r="E21" s="47">
        <f t="shared" si="0"/>
        <v>0.89999999999999991</v>
      </c>
      <c r="F21" s="48">
        <f t="shared" si="1"/>
        <v>8</v>
      </c>
      <c r="G21" s="49">
        <f t="shared" si="2"/>
        <v>7.1999999999999993</v>
      </c>
      <c r="I21" s="65"/>
      <c r="J21" s="65"/>
      <c r="K21" s="67"/>
    </row>
    <row r="22" spans="2:11">
      <c r="B22" s="50"/>
      <c r="C22" s="46"/>
      <c r="D22" s="46"/>
      <c r="E22" s="47"/>
      <c r="F22" s="48">
        <f t="shared" si="1"/>
        <v>0</v>
      </c>
      <c r="G22" s="49">
        <f t="shared" si="2"/>
        <v>0</v>
      </c>
    </row>
    <row r="23" spans="2:11">
      <c r="B23" s="51"/>
      <c r="C23" s="52"/>
      <c r="D23" s="53"/>
      <c r="E23" s="53"/>
      <c r="F23" s="54" t="s">
        <v>1376</v>
      </c>
      <c r="G23" s="55">
        <f>SUM(G12:G22)</f>
        <v>126.1</v>
      </c>
    </row>
    <row r="24" spans="2:11">
      <c r="B24" s="51"/>
      <c r="C24" s="52"/>
      <c r="D24" s="53"/>
      <c r="E24" s="53"/>
      <c r="F24" s="56"/>
      <c r="G24" s="57"/>
    </row>
    <row r="25" spans="2:11" ht="56.25">
      <c r="B25" s="42" t="s">
        <v>1967</v>
      </c>
      <c r="C25" s="42" t="s">
        <v>1482</v>
      </c>
      <c r="D25" s="42" t="s">
        <v>1791</v>
      </c>
      <c r="E25" s="42" t="s">
        <v>1964</v>
      </c>
      <c r="F25" s="58" t="s">
        <v>1968</v>
      </c>
      <c r="G25" s="58" t="s">
        <v>1969</v>
      </c>
    </row>
    <row r="26" spans="2:11">
      <c r="B26" s="45" t="s">
        <v>1450</v>
      </c>
      <c r="C26" s="46">
        <v>2</v>
      </c>
      <c r="D26" s="46">
        <v>2</v>
      </c>
      <c r="E26" s="59">
        <f t="shared" ref="E26:E39" si="3">D26+0.3</f>
        <v>2.2999999999999998</v>
      </c>
      <c r="F26" s="60">
        <f t="shared" ref="F26:F39" si="4">C26*2</f>
        <v>4</v>
      </c>
      <c r="G26" s="61">
        <f t="shared" ref="G26:G39" si="5">E26*F26</f>
        <v>9.1999999999999993</v>
      </c>
    </row>
    <row r="27" spans="2:11">
      <c r="B27" s="45" t="s">
        <v>1451</v>
      </c>
      <c r="C27" s="46">
        <v>8</v>
      </c>
      <c r="D27" s="46">
        <v>1</v>
      </c>
      <c r="E27" s="47">
        <f t="shared" si="3"/>
        <v>1.3</v>
      </c>
      <c r="F27" s="48">
        <f t="shared" si="4"/>
        <v>16</v>
      </c>
      <c r="G27" s="61">
        <f t="shared" si="5"/>
        <v>20.8</v>
      </c>
    </row>
    <row r="28" spans="2:11">
      <c r="B28" s="45" t="s">
        <v>1453</v>
      </c>
      <c r="C28" s="46">
        <v>1</v>
      </c>
      <c r="D28" s="46">
        <v>1</v>
      </c>
      <c r="E28" s="47">
        <f t="shared" si="3"/>
        <v>1.3</v>
      </c>
      <c r="F28" s="48">
        <f t="shared" si="4"/>
        <v>2</v>
      </c>
      <c r="G28" s="61">
        <f t="shared" si="5"/>
        <v>2.6</v>
      </c>
    </row>
    <row r="29" spans="2:11">
      <c r="B29" s="45" t="s">
        <v>1455</v>
      </c>
      <c r="C29" s="46">
        <v>2</v>
      </c>
      <c r="D29" s="46">
        <v>1.5</v>
      </c>
      <c r="E29" s="47">
        <f t="shared" si="3"/>
        <v>1.8</v>
      </c>
      <c r="F29" s="48">
        <f t="shared" si="4"/>
        <v>4</v>
      </c>
      <c r="G29" s="61">
        <f t="shared" si="5"/>
        <v>7.2</v>
      </c>
    </row>
    <row r="30" spans="2:11">
      <c r="B30" s="45" t="s">
        <v>1457</v>
      </c>
      <c r="C30" s="46">
        <v>2</v>
      </c>
      <c r="D30" s="46">
        <v>1.5</v>
      </c>
      <c r="E30" s="47">
        <f t="shared" si="3"/>
        <v>1.8</v>
      </c>
      <c r="F30" s="48">
        <f t="shared" si="4"/>
        <v>4</v>
      </c>
      <c r="G30" s="61">
        <f t="shared" si="5"/>
        <v>7.2</v>
      </c>
    </row>
    <row r="31" spans="2:11">
      <c r="B31" s="45" t="s">
        <v>1459</v>
      </c>
      <c r="C31" s="46">
        <v>1</v>
      </c>
      <c r="D31" s="46">
        <v>1.4</v>
      </c>
      <c r="E31" s="47">
        <f t="shared" si="3"/>
        <v>1.7</v>
      </c>
      <c r="F31" s="48">
        <f t="shared" si="4"/>
        <v>2</v>
      </c>
      <c r="G31" s="61">
        <f t="shared" si="5"/>
        <v>3.4</v>
      </c>
    </row>
    <row r="32" spans="2:11">
      <c r="B32" s="45" t="s">
        <v>1461</v>
      </c>
      <c r="C32" s="46">
        <v>3</v>
      </c>
      <c r="D32" s="46">
        <v>1.5</v>
      </c>
      <c r="E32" s="47">
        <f t="shared" si="3"/>
        <v>1.8</v>
      </c>
      <c r="F32" s="48">
        <f t="shared" si="4"/>
        <v>6</v>
      </c>
      <c r="G32" s="61">
        <f t="shared" si="5"/>
        <v>10.8</v>
      </c>
    </row>
    <row r="33" spans="2:12">
      <c r="B33" s="45" t="s">
        <v>1463</v>
      </c>
      <c r="C33" s="46">
        <v>17</v>
      </c>
      <c r="D33" s="46">
        <v>2</v>
      </c>
      <c r="E33" s="47">
        <f t="shared" si="3"/>
        <v>2.2999999999999998</v>
      </c>
      <c r="F33" s="48">
        <f t="shared" si="4"/>
        <v>34</v>
      </c>
      <c r="G33" s="61">
        <f t="shared" si="5"/>
        <v>78.199999999999989</v>
      </c>
    </row>
    <row r="34" spans="2:12">
      <c r="B34" s="45" t="s">
        <v>1465</v>
      </c>
      <c r="C34" s="46">
        <v>2</v>
      </c>
      <c r="D34" s="46">
        <v>2</v>
      </c>
      <c r="E34" s="47">
        <f t="shared" si="3"/>
        <v>2.2999999999999998</v>
      </c>
      <c r="F34" s="48">
        <f t="shared" si="4"/>
        <v>4</v>
      </c>
      <c r="G34" s="61">
        <f t="shared" si="5"/>
        <v>9.1999999999999993</v>
      </c>
    </row>
    <row r="35" spans="2:12">
      <c r="B35" s="45" t="s">
        <v>1467</v>
      </c>
      <c r="C35" s="46">
        <v>2</v>
      </c>
      <c r="D35" s="46">
        <v>2</v>
      </c>
      <c r="E35" s="47">
        <f t="shared" si="3"/>
        <v>2.2999999999999998</v>
      </c>
      <c r="F35" s="48">
        <f t="shared" si="4"/>
        <v>4</v>
      </c>
      <c r="G35" s="61">
        <f t="shared" si="5"/>
        <v>9.1999999999999993</v>
      </c>
    </row>
    <row r="36" spans="2:12">
      <c r="B36" s="45" t="s">
        <v>1469</v>
      </c>
      <c r="C36" s="46">
        <v>1</v>
      </c>
      <c r="D36" s="46">
        <v>2</v>
      </c>
      <c r="E36" s="47">
        <f t="shared" si="3"/>
        <v>2.2999999999999998</v>
      </c>
      <c r="F36" s="48">
        <f t="shared" si="4"/>
        <v>2</v>
      </c>
      <c r="G36" s="61">
        <f t="shared" si="5"/>
        <v>4.5999999999999996</v>
      </c>
    </row>
    <row r="37" spans="2:12">
      <c r="B37" s="45" t="s">
        <v>1470</v>
      </c>
      <c r="C37" s="46">
        <v>2</v>
      </c>
      <c r="D37" s="46">
        <v>2.5</v>
      </c>
      <c r="E37" s="47">
        <f t="shared" si="3"/>
        <v>2.8</v>
      </c>
      <c r="F37" s="48">
        <f t="shared" si="4"/>
        <v>4</v>
      </c>
      <c r="G37" s="61">
        <f t="shared" si="5"/>
        <v>11.2</v>
      </c>
    </row>
    <row r="38" spans="2:12">
      <c r="B38" s="45" t="s">
        <v>1471</v>
      </c>
      <c r="C38" s="46">
        <v>13</v>
      </c>
      <c r="D38" s="46">
        <v>2.5</v>
      </c>
      <c r="E38" s="47">
        <f t="shared" si="3"/>
        <v>2.8</v>
      </c>
      <c r="F38" s="48">
        <f t="shared" si="4"/>
        <v>26</v>
      </c>
      <c r="G38" s="61">
        <f t="shared" si="5"/>
        <v>72.8</v>
      </c>
    </row>
    <row r="39" spans="2:12">
      <c r="B39" s="45" t="s">
        <v>1472</v>
      </c>
      <c r="C39" s="46">
        <v>3</v>
      </c>
      <c r="D39" s="46">
        <v>3</v>
      </c>
      <c r="E39" s="47">
        <f t="shared" si="3"/>
        <v>3.3</v>
      </c>
      <c r="F39" s="48">
        <f t="shared" si="4"/>
        <v>6</v>
      </c>
      <c r="G39" s="61">
        <f t="shared" si="5"/>
        <v>19.799999999999997</v>
      </c>
    </row>
    <row r="40" spans="2:12">
      <c r="F40" s="54" t="s">
        <v>1376</v>
      </c>
      <c r="G40" s="55">
        <f>SUM(G26:G39)</f>
        <v>266.19999999999993</v>
      </c>
    </row>
    <row r="42" spans="2:12" ht="37.5">
      <c r="F42" s="42" t="s">
        <v>1970</v>
      </c>
      <c r="G42" s="42" t="s">
        <v>1971</v>
      </c>
    </row>
    <row r="43" spans="2:12">
      <c r="F43" s="50" t="s">
        <v>1963</v>
      </c>
      <c r="G43" s="62">
        <f>G23</f>
        <v>126.1</v>
      </c>
    </row>
    <row r="44" spans="2:12">
      <c r="F44" s="50" t="s">
        <v>1967</v>
      </c>
      <c r="G44" s="62">
        <f>G40</f>
        <v>266.19999999999993</v>
      </c>
    </row>
    <row r="45" spans="2:12">
      <c r="F45" s="63" t="s">
        <v>1376</v>
      </c>
      <c r="G45" s="55">
        <f>ROUND(SUM(G43:G44),2)*1.05</f>
        <v>411.91500000000002</v>
      </c>
      <c r="H45" t="s">
        <v>1551</v>
      </c>
    </row>
    <row r="47" spans="2:12">
      <c r="J47" s="65"/>
      <c r="K47" s="65"/>
      <c r="L47" s="66"/>
    </row>
    <row r="48" spans="2:12">
      <c r="J48" s="65"/>
      <c r="K48" s="65"/>
      <c r="L48" s="66"/>
    </row>
    <row r="49" spans="10:12">
      <c r="J49" s="65"/>
      <c r="K49" s="65"/>
      <c r="L49" s="66"/>
    </row>
    <row r="50" spans="10:12">
      <c r="J50" s="65"/>
      <c r="K50" s="65"/>
      <c r="L50" s="66"/>
    </row>
    <row r="51" spans="10:12">
      <c r="J51" s="65"/>
      <c r="K51" s="65"/>
      <c r="L51" s="66"/>
    </row>
    <row r="52" spans="10:12">
      <c r="J52" s="65"/>
      <c r="K52" s="65"/>
      <c r="L52" s="66"/>
    </row>
    <row r="53" spans="10:12">
      <c r="J53" s="65"/>
      <c r="K53" s="65"/>
      <c r="L53" s="66"/>
    </row>
    <row r="54" spans="10:12">
      <c r="J54" s="65"/>
      <c r="K54" s="65"/>
      <c r="L54" s="66"/>
    </row>
    <row r="55" spans="10:12">
      <c r="J55" s="65"/>
      <c r="K55" s="65"/>
      <c r="L55" s="66"/>
    </row>
    <row r="56" spans="10:12">
      <c r="J56" s="65"/>
      <c r="K56" s="65"/>
      <c r="L56" s="66"/>
    </row>
    <row r="57" spans="10:12">
      <c r="J57" s="65"/>
      <c r="K57" s="65"/>
      <c r="L57" s="66"/>
    </row>
    <row r="58" spans="10:12">
      <c r="J58" s="65"/>
      <c r="K58" s="65"/>
      <c r="L58" s="66"/>
    </row>
    <row r="59" spans="10:12">
      <c r="J59" s="65"/>
      <c r="K59" s="65"/>
      <c r="L59" s="66"/>
    </row>
    <row r="60" spans="10:12">
      <c r="J60" s="65"/>
      <c r="K60" s="65"/>
      <c r="L60" s="66"/>
    </row>
  </sheetData>
  <pageMargins left="0.51041666666666696" right="0.51041666666666696" top="0.78749999999999998" bottom="0.78749999999999998" header="0.51041666666666696" footer="0.51041666666666696"/>
  <pageSetup paperSize="9" scale="66" firstPageNumber="0" orientation="portrait" useFirstPageNumber="1"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MK32"/>
  <sheetViews>
    <sheetView showGridLines="0" view="pageBreakPreview" topLeftCell="A8" zoomScaleNormal="90" workbookViewId="0">
      <selection activeCell="D31" sqref="D31"/>
    </sheetView>
  </sheetViews>
  <sheetFormatPr defaultColWidth="9" defaultRowHeight="15"/>
  <cols>
    <col min="1" max="1" width="2.7109375" style="1" customWidth="1"/>
    <col min="2" max="3" width="18.7109375" style="1" customWidth="1"/>
    <col min="4" max="4" width="19.85546875" style="1" customWidth="1"/>
    <col min="5" max="8" width="18.7109375" style="1" customWidth="1"/>
    <col min="9" max="9" width="9.140625" style="1" customWidth="1"/>
    <col min="10" max="13" width="15.5703125" style="1" customWidth="1"/>
    <col min="14" max="1025" width="9.140625" style="1" customWidth="1"/>
  </cols>
  <sheetData>
    <row r="1" spans="2:13">
      <c r="D1" s="2"/>
      <c r="F1" s="3"/>
      <c r="G1" s="3"/>
      <c r="L1" s="35"/>
    </row>
    <row r="2" spans="2:13">
      <c r="D2" s="2"/>
      <c r="F2" s="3"/>
      <c r="G2" s="3"/>
      <c r="L2" s="35"/>
    </row>
    <row r="3" spans="2:13">
      <c r="D3" s="2"/>
      <c r="F3" s="3"/>
      <c r="G3" s="3"/>
      <c r="L3" s="35"/>
    </row>
    <row r="4" spans="2:13">
      <c r="D4" s="2"/>
      <c r="F4" s="3"/>
      <c r="G4" s="3"/>
      <c r="L4" s="35"/>
    </row>
    <row r="5" spans="2:13">
      <c r="D5" s="2"/>
      <c r="F5" s="3"/>
      <c r="G5" s="3"/>
      <c r="L5" s="35"/>
    </row>
    <row r="6" spans="2:13" ht="31.5">
      <c r="B6" s="4" t="s">
        <v>1972</v>
      </c>
      <c r="C6" s="4"/>
      <c r="D6" s="4"/>
      <c r="E6" s="4"/>
      <c r="K6" s="13"/>
      <c r="L6" s="9"/>
      <c r="M6" s="35"/>
    </row>
    <row r="7" spans="2:13" ht="18.75">
      <c r="B7" s="5"/>
      <c r="C7" s="6"/>
      <c r="D7" s="7"/>
      <c r="E7" s="8"/>
      <c r="G7" s="9"/>
      <c r="K7" s="13"/>
      <c r="L7" s="5"/>
      <c r="M7" s="35"/>
    </row>
    <row r="8" spans="2:13" ht="18.75">
      <c r="B8" s="5"/>
      <c r="C8" s="5"/>
      <c r="D8" s="7"/>
      <c r="E8" s="10"/>
      <c r="G8" s="5"/>
      <c r="K8" s="13"/>
      <c r="L8" s="5"/>
      <c r="M8" s="35"/>
    </row>
    <row r="9" spans="2:13" ht="18.75">
      <c r="G9" s="5"/>
      <c r="K9" s="13"/>
      <c r="M9" s="35"/>
    </row>
    <row r="10" spans="2:13" ht="18.75">
      <c r="B10" s="5"/>
      <c r="C10" s="11"/>
      <c r="D10" s="12"/>
      <c r="E10" s="5"/>
      <c r="G10" s="5"/>
      <c r="H10" s="13"/>
      <c r="K10" s="13"/>
      <c r="M10" s="35"/>
    </row>
    <row r="11" spans="2:13" ht="56.25">
      <c r="B11" s="14" t="s">
        <v>1973</v>
      </c>
      <c r="C11" s="14" t="s">
        <v>1974</v>
      </c>
      <c r="D11" s="14" t="s">
        <v>1975</v>
      </c>
      <c r="E11" s="14" t="s">
        <v>1976</v>
      </c>
      <c r="F11" s="14" t="s">
        <v>1977</v>
      </c>
      <c r="G11" s="14" t="s">
        <v>1978</v>
      </c>
      <c r="H11" s="14" t="s">
        <v>1979</v>
      </c>
      <c r="J11" s="36" t="s">
        <v>1980</v>
      </c>
    </row>
    <row r="12" spans="2:13">
      <c r="B12" s="15" t="s">
        <v>1519</v>
      </c>
      <c r="C12" s="16">
        <v>52.94</v>
      </c>
      <c r="D12" s="16">
        <v>22.24</v>
      </c>
      <c r="E12" s="17">
        <v>1.0049999999999999</v>
      </c>
      <c r="F12" s="18">
        <f t="shared" ref="F12:F20" si="0">C12*E12</f>
        <v>53.204699999999995</v>
      </c>
      <c r="G12" s="18">
        <f t="shared" ref="G12:G20" si="1">D12*E12</f>
        <v>22.351199999999995</v>
      </c>
      <c r="H12" s="16"/>
      <c r="I12" s="37"/>
    </row>
    <row r="13" spans="2:13">
      <c r="B13" s="19" t="s">
        <v>1519</v>
      </c>
      <c r="C13" s="20">
        <v>53.77</v>
      </c>
      <c r="D13" s="20">
        <v>22.44</v>
      </c>
      <c r="E13" s="17">
        <v>1.0049999999999999</v>
      </c>
      <c r="F13" s="18">
        <f t="shared" si="0"/>
        <v>54.038849999999996</v>
      </c>
      <c r="G13" s="18">
        <f t="shared" si="1"/>
        <v>22.552199999999999</v>
      </c>
      <c r="H13" s="16"/>
      <c r="I13" s="37"/>
    </row>
    <row r="14" spans="2:13" ht="31.5">
      <c r="B14" s="19" t="s">
        <v>1981</v>
      </c>
      <c r="C14" s="20">
        <v>110.56</v>
      </c>
      <c r="D14" s="20">
        <v>33.729999999999997</v>
      </c>
      <c r="E14" s="17">
        <v>1.0049999999999999</v>
      </c>
      <c r="F14" s="18">
        <f t="shared" si="0"/>
        <v>111.11279999999999</v>
      </c>
      <c r="G14" s="18">
        <f t="shared" si="1"/>
        <v>33.898649999999996</v>
      </c>
      <c r="H14" s="16"/>
      <c r="I14" s="37"/>
      <c r="J14" s="1260"/>
      <c r="K14" s="1260"/>
      <c r="L14" s="1260"/>
      <c r="M14" s="36" t="s">
        <v>1982</v>
      </c>
    </row>
    <row r="15" spans="2:13">
      <c r="B15" s="19" t="s">
        <v>1524</v>
      </c>
      <c r="C15" s="20">
        <v>111.82</v>
      </c>
      <c r="D15" s="20">
        <v>28.7</v>
      </c>
      <c r="E15" s="17">
        <v>1.0049999999999999</v>
      </c>
      <c r="F15" s="18">
        <f t="shared" si="0"/>
        <v>112.37909999999998</v>
      </c>
      <c r="G15" s="18">
        <f t="shared" si="1"/>
        <v>28.843499999999995</v>
      </c>
      <c r="H15" s="16"/>
      <c r="I15" s="37"/>
      <c r="J15" s="1260"/>
      <c r="K15" s="1260"/>
      <c r="L15" s="1260"/>
    </row>
    <row r="16" spans="2:13">
      <c r="B16" s="19" t="s">
        <v>1983</v>
      </c>
      <c r="C16" s="20">
        <v>120.02</v>
      </c>
      <c r="D16" s="20">
        <v>24.11</v>
      </c>
      <c r="E16" s="17">
        <v>1.0049999999999999</v>
      </c>
      <c r="F16" s="18">
        <f t="shared" si="0"/>
        <v>120.62009999999998</v>
      </c>
      <c r="G16" s="18">
        <f t="shared" si="1"/>
        <v>24.230549999999997</v>
      </c>
      <c r="H16" s="16"/>
      <c r="I16" s="37"/>
    </row>
    <row r="17" spans="2:11" ht="31.5">
      <c r="B17" s="19" t="s">
        <v>1532</v>
      </c>
      <c r="C17" s="20">
        <v>119.91</v>
      </c>
      <c r="D17" s="20">
        <v>23.06</v>
      </c>
      <c r="E17" s="17">
        <v>1.0049999999999999</v>
      </c>
      <c r="F17" s="18">
        <f t="shared" si="0"/>
        <v>120.50954999999999</v>
      </c>
      <c r="G17" s="18">
        <f t="shared" si="1"/>
        <v>23.175299999999996</v>
      </c>
      <c r="H17" s="16"/>
      <c r="I17" s="37"/>
      <c r="K17" s="36" t="s">
        <v>1984</v>
      </c>
    </row>
    <row r="18" spans="2:11">
      <c r="B18" s="19" t="s">
        <v>1509</v>
      </c>
      <c r="C18" s="20">
        <v>120.49</v>
      </c>
      <c r="D18" s="20">
        <v>31.06</v>
      </c>
      <c r="E18" s="17">
        <v>1.0049999999999999</v>
      </c>
      <c r="F18" s="18">
        <f t="shared" si="0"/>
        <v>121.09244999999999</v>
      </c>
      <c r="G18" s="18">
        <f t="shared" si="1"/>
        <v>31.215299999999996</v>
      </c>
      <c r="H18" s="16"/>
      <c r="I18" s="37"/>
    </row>
    <row r="19" spans="2:11">
      <c r="B19" s="19" t="s">
        <v>1508</v>
      </c>
      <c r="C19" s="20">
        <v>116.75</v>
      </c>
      <c r="D19" s="20">
        <v>38.979999999999997</v>
      </c>
      <c r="E19" s="17">
        <v>1.0049999999999999</v>
      </c>
      <c r="F19" s="18">
        <f t="shared" si="0"/>
        <v>117.33374999999998</v>
      </c>
      <c r="G19" s="18">
        <f t="shared" si="1"/>
        <v>39.174899999999994</v>
      </c>
      <c r="H19" s="16"/>
      <c r="I19" s="37"/>
    </row>
    <row r="20" spans="2:11">
      <c r="B20" s="19" t="s">
        <v>1497</v>
      </c>
      <c r="C20" s="20">
        <v>227.36</v>
      </c>
      <c r="D20" s="20">
        <v>59.77</v>
      </c>
      <c r="E20" s="17">
        <v>1.0049999999999999</v>
      </c>
      <c r="F20" s="18">
        <f t="shared" si="0"/>
        <v>228.49679999999998</v>
      </c>
      <c r="G20" s="18">
        <f t="shared" si="1"/>
        <v>60.068849999999998</v>
      </c>
      <c r="H20" s="16"/>
      <c r="I20" s="37"/>
    </row>
    <row r="21" spans="2:11">
      <c r="B21" s="21"/>
      <c r="C21" s="22"/>
      <c r="D21" s="22"/>
      <c r="E21" s="23" t="s">
        <v>1376</v>
      </c>
      <c r="F21" s="24">
        <f>ROUND(SUM(F12:F20),2)*1.1</f>
        <v>1142.6690000000001</v>
      </c>
      <c r="G21" s="25">
        <f>ROUND(SUM(G12:G20),2)*1.1</f>
        <v>314.06100000000004</v>
      </c>
      <c r="H21" s="25">
        <f>SUM(H12:H20)</f>
        <v>0</v>
      </c>
      <c r="I21" s="37"/>
    </row>
    <row r="22" spans="2:11">
      <c r="B22" s="26"/>
      <c r="C22" s="27"/>
      <c r="D22" s="27"/>
      <c r="E22" s="26"/>
      <c r="F22" s="28" t="s">
        <v>1551</v>
      </c>
      <c r="G22" s="29" t="s">
        <v>1551</v>
      </c>
      <c r="H22" s="29"/>
      <c r="I22" s="37"/>
    </row>
    <row r="23" spans="2:11">
      <c r="B23" s="26"/>
      <c r="C23" s="27"/>
      <c r="D23" s="27"/>
      <c r="E23" s="26"/>
      <c r="F23" s="28"/>
      <c r="G23" s="29"/>
      <c r="H23" s="29"/>
      <c r="I23" s="37"/>
    </row>
    <row r="25" spans="2:11" ht="37.5">
      <c r="B25" s="14" t="s">
        <v>1985</v>
      </c>
      <c r="C25" s="14" t="s">
        <v>1749</v>
      </c>
      <c r="D25" s="14" t="s">
        <v>1791</v>
      </c>
      <c r="E25" s="14" t="s">
        <v>1927</v>
      </c>
      <c r="F25" s="30"/>
      <c r="G25" s="1256" t="s">
        <v>233</v>
      </c>
      <c r="H25" s="1256"/>
      <c r="I25" s="1256"/>
      <c r="J25" s="1256"/>
      <c r="K25" s="38"/>
    </row>
    <row r="26" spans="2:11">
      <c r="B26" s="19" t="s">
        <v>1540</v>
      </c>
      <c r="C26" s="16">
        <v>0.15</v>
      </c>
      <c r="D26" s="16">
        <v>170.95</v>
      </c>
      <c r="E26" s="31">
        <f>C26*D26</f>
        <v>25.642499999999998</v>
      </c>
      <c r="G26" s="1261" t="s">
        <v>1796</v>
      </c>
      <c r="H26" s="1262"/>
      <c r="I26" s="1261" t="s">
        <v>1986</v>
      </c>
      <c r="J26" s="1262"/>
      <c r="K26" s="34"/>
    </row>
    <row r="27" spans="2:11">
      <c r="B27" s="19" t="s">
        <v>1545</v>
      </c>
      <c r="C27" s="20">
        <v>0.15</v>
      </c>
      <c r="D27" s="20">
        <v>293.19</v>
      </c>
      <c r="E27" s="31">
        <f>C27*D27</f>
        <v>43.978499999999997</v>
      </c>
      <c r="G27" s="1262"/>
      <c r="H27" s="1262"/>
      <c r="I27" s="1262"/>
      <c r="J27" s="1262"/>
      <c r="K27" s="34"/>
    </row>
    <row r="28" spans="2:11">
      <c r="B28" s="19" t="s">
        <v>1987</v>
      </c>
      <c r="C28" s="20">
        <v>0.15</v>
      </c>
      <c r="D28" s="20">
        <v>24.23</v>
      </c>
      <c r="E28" s="31">
        <f>C28*D28</f>
        <v>3.6345000000000001</v>
      </c>
      <c r="G28" s="1219" t="s">
        <v>1988</v>
      </c>
      <c r="H28" s="1257"/>
      <c r="I28" s="1258">
        <v>101.78</v>
      </c>
      <c r="J28" s="1258"/>
      <c r="K28" s="34"/>
    </row>
    <row r="29" spans="2:11">
      <c r="B29" s="19"/>
      <c r="C29" s="20"/>
      <c r="D29" s="20"/>
      <c r="E29" s="31">
        <f>C29*D29</f>
        <v>0</v>
      </c>
      <c r="G29" s="1219" t="s">
        <v>1989</v>
      </c>
      <c r="H29" s="1257"/>
      <c r="I29" s="1258">
        <v>43.42</v>
      </c>
      <c r="J29" s="1258"/>
      <c r="K29" s="34"/>
    </row>
    <row r="30" spans="2:11">
      <c r="B30" s="19"/>
      <c r="C30" s="20"/>
      <c r="D30" s="20"/>
      <c r="E30" s="31">
        <f>C30*D30</f>
        <v>0</v>
      </c>
      <c r="G30" s="1219" t="s">
        <v>1990</v>
      </c>
      <c r="H30" s="1219"/>
      <c r="I30" s="1258">
        <v>114.73</v>
      </c>
      <c r="J30" s="1258"/>
      <c r="K30" s="34"/>
    </row>
    <row r="31" spans="2:11">
      <c r="B31" s="21"/>
      <c r="C31" s="23" t="s">
        <v>1376</v>
      </c>
      <c r="D31" s="24">
        <f>ROUND(SUM(D26:D30),2)</f>
        <v>488.37</v>
      </c>
      <c r="E31" s="24">
        <f>ROUND(SUM(E26:E30)*1.1,2)</f>
        <v>80.58</v>
      </c>
      <c r="G31" s="1219" t="s">
        <v>1991</v>
      </c>
      <c r="H31" s="1219"/>
      <c r="I31" s="1259">
        <f>SUM(I28:J30)</f>
        <v>259.93</v>
      </c>
      <c r="J31" s="1259"/>
      <c r="K31" s="34"/>
    </row>
    <row r="32" spans="2:11">
      <c r="D32" s="33" t="s">
        <v>1551</v>
      </c>
      <c r="G32" s="34"/>
      <c r="H32" s="34"/>
      <c r="I32" s="34"/>
      <c r="J32" s="34"/>
      <c r="K32" s="34"/>
    </row>
  </sheetData>
  <mergeCells count="12">
    <mergeCell ref="G30:H30"/>
    <mergeCell ref="I30:J30"/>
    <mergeCell ref="G31:H31"/>
    <mergeCell ref="I31:J31"/>
    <mergeCell ref="J14:L15"/>
    <mergeCell ref="G26:H27"/>
    <mergeCell ref="I26:J27"/>
    <mergeCell ref="G25:J25"/>
    <mergeCell ref="G28:H28"/>
    <mergeCell ref="I28:J28"/>
    <mergeCell ref="G29:H29"/>
    <mergeCell ref="I29:J29"/>
  </mergeCells>
  <pageMargins left="0.51041666666666696" right="0.51041666666666696" top="0.78749999999999998" bottom="0.78749999999999998" header="0.51041666666666696" footer="0.51041666666666696"/>
  <pageSetup paperSize="9" scale="42" firstPageNumber="0" orientation="portrait" useFirstPageNumber="1"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18</vt:i4>
      </vt:variant>
      <vt:variant>
        <vt:lpstr>Intervalos nomeados</vt:lpstr>
      </vt:variant>
      <vt:variant>
        <vt:i4>8</vt:i4>
      </vt:variant>
    </vt:vector>
  </HeadingPairs>
  <TitlesOfParts>
    <vt:vector size="26" baseType="lpstr">
      <vt:lpstr>Planilha Orçamentária</vt:lpstr>
      <vt:lpstr>Cronograma Fís-Financ </vt:lpstr>
      <vt:lpstr>composições</vt:lpstr>
      <vt:lpstr>Curva ABC</vt:lpstr>
      <vt:lpstr>Reboco e gesso </vt:lpstr>
      <vt:lpstr>INFRA E SUPER</vt:lpstr>
      <vt:lpstr>Plan1</vt:lpstr>
      <vt:lpstr>Infra</vt:lpstr>
      <vt:lpstr>Super</vt:lpstr>
      <vt:lpstr>Alvenaria</vt:lpstr>
      <vt:lpstr>Acabamentos</vt:lpstr>
      <vt:lpstr>Esquadrias</vt:lpstr>
      <vt:lpstr>Área de Contrapiso</vt:lpstr>
      <vt:lpstr>Impermeab. Áreas Molhadas</vt:lpstr>
      <vt:lpstr>BANCADAS E SOLEIRAS</vt:lpstr>
      <vt:lpstr>GRADIL - A.VERDE - Á EXT.</vt:lpstr>
      <vt:lpstr>VERGAS CONTRAVERGAS</vt:lpstr>
      <vt:lpstr>TELHADOS</vt:lpstr>
      <vt:lpstr>Acabamentos!_FiltrarBancodeDados</vt:lpstr>
      <vt:lpstr>'Reboco e gesso '!_FiltrarBancodeDados</vt:lpstr>
      <vt:lpstr>'BANCADAS E SOLEIRAS'!Area_de_impressao</vt:lpstr>
      <vt:lpstr>'Cronograma Fís-Financ '!Area_de_impressao</vt:lpstr>
      <vt:lpstr>Esquadrias!Area_de_impressao</vt:lpstr>
      <vt:lpstr>'GRADIL - A.VERDE - Á EXT.'!Area_de_impressao</vt:lpstr>
      <vt:lpstr>'Planilha Orçamentária'!Area_de_impressao</vt:lpstr>
      <vt:lpstr>'Planilha Orçamentária'!Titulos_de_impressao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wilian</dc:creator>
  <cp:lastModifiedBy>Thalita Baptista Pinto Pereira</cp:lastModifiedBy>
  <cp:revision>11</cp:revision>
  <cp:lastPrinted>2021-05-26T12:46:33Z</cp:lastPrinted>
  <dcterms:created xsi:type="dcterms:W3CDTF">2020-06-08T22:42:00Z</dcterms:created>
  <dcterms:modified xsi:type="dcterms:W3CDTF">2021-05-26T12:52:16Z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1046-11.2.0.10114</vt:lpwstr>
  </property>
</Properties>
</file>